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ack Up (May 2021)\May 2021\"/>
    </mc:Choice>
  </mc:AlternateContent>
  <xr:revisionPtr revIDLastSave="0" documentId="8_{9E077885-4697-4400-AF89-00429B743DC8}" xr6:coauthVersionLast="46" xr6:coauthVersionMax="46" xr10:uidLastSave="{00000000-0000-0000-0000-000000000000}"/>
  <bookViews>
    <workbookView xWindow="-110" yWindow="-110" windowWidth="19420" windowHeight="10420" firstSheet="1" activeTab="5" xr2:uid="{00000000-000D-0000-FFFF-FFFF00000000}"/>
  </bookViews>
  <sheets>
    <sheet name="2015 Actual" sheetId="1" r:id="rId1"/>
    <sheet name="2020 Outlook" sheetId="2" r:id="rId2"/>
    <sheet name="2030 Base Case " sheetId="7" r:id="rId3"/>
    <sheet name="2030 High Biomass Case" sheetId="3" r:id="rId4"/>
    <sheet name="2030 Cork CCS Case" sheetId="5" r:id="rId5"/>
    <sheet name="2030 Summary" sheetId="6" r:id="rId6"/>
  </sheets>
  <definedNames>
    <definedName name="_xlnm.Print_Area" localSheetId="0">'2015 Actual'!$A$1:$I$51</definedName>
    <definedName name="_xlnm.Print_Area" localSheetId="3">'2030 High Biomass Case'!$A$1:$I$65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6" l="1"/>
  <c r="C26" i="6"/>
  <c r="G48" i="7" l="1"/>
  <c r="G51" i="7" s="1"/>
  <c r="G44" i="7"/>
  <c r="H44" i="7" s="1"/>
  <c r="B38" i="7"/>
  <c r="D38" i="7" s="1"/>
  <c r="E38" i="7" s="1"/>
  <c r="B37" i="7"/>
  <c r="D37" i="7" s="1"/>
  <c r="E37" i="7" s="1"/>
  <c r="B36" i="7"/>
  <c r="D36" i="7" s="1"/>
  <c r="E36" i="7" s="1"/>
  <c r="B34" i="7"/>
  <c r="D34" i="7" s="1"/>
  <c r="E34" i="7" s="1"/>
  <c r="B33" i="7"/>
  <c r="D33" i="7" s="1"/>
  <c r="E33" i="7" s="1"/>
  <c r="B31" i="7"/>
  <c r="D31" i="7" s="1"/>
  <c r="E31" i="7" s="1"/>
  <c r="B30" i="7"/>
  <c r="D30" i="7" s="1"/>
  <c r="B25" i="7"/>
  <c r="G24" i="7"/>
  <c r="G37" i="7" s="1"/>
  <c r="H37" i="7" s="1"/>
  <c r="D24" i="7"/>
  <c r="E24" i="7" s="1"/>
  <c r="G23" i="7"/>
  <c r="G36" i="7" s="1"/>
  <c r="H36" i="7" s="1"/>
  <c r="D23" i="7"/>
  <c r="E23" i="7" s="1"/>
  <c r="G22" i="7"/>
  <c r="H22" i="7" s="1"/>
  <c r="D22" i="7"/>
  <c r="E22" i="7" s="1"/>
  <c r="G21" i="7"/>
  <c r="H21" i="7" s="1"/>
  <c r="D21" i="7"/>
  <c r="G17" i="7"/>
  <c r="H17" i="7" s="1"/>
  <c r="G16" i="7"/>
  <c r="G38" i="7" s="1"/>
  <c r="H38" i="7" s="1"/>
  <c r="D16" i="7"/>
  <c r="E16" i="7" s="1"/>
  <c r="G15" i="7"/>
  <c r="H15" i="7" s="1"/>
  <c r="B35" i="7"/>
  <c r="D35" i="7" s="1"/>
  <c r="E35" i="7" s="1"/>
  <c r="G14" i="7"/>
  <c r="G34" i="7" s="1"/>
  <c r="H34" i="7" s="1"/>
  <c r="D14" i="7"/>
  <c r="E14" i="7" s="1"/>
  <c r="G13" i="7"/>
  <c r="G33" i="7" s="1"/>
  <c r="H33" i="7" s="1"/>
  <c r="D13" i="7"/>
  <c r="E13" i="7" s="1"/>
  <c r="G11" i="7"/>
  <c r="D11" i="7"/>
  <c r="E11" i="7" s="1"/>
  <c r="G10" i="7"/>
  <c r="G30" i="7" s="1"/>
  <c r="D10" i="7"/>
  <c r="D25" i="7" l="1"/>
  <c r="E25" i="7" s="1"/>
  <c r="G31" i="7"/>
  <c r="H31" i="7" s="1"/>
  <c r="I30" i="7" s="1"/>
  <c r="H23" i="7"/>
  <c r="G35" i="7"/>
  <c r="H35" i="7" s="1"/>
  <c r="G39" i="7"/>
  <c r="H39" i="7" s="1"/>
  <c r="H11" i="7"/>
  <c r="G25" i="7"/>
  <c r="H25" i="7" s="1"/>
  <c r="H10" i="7"/>
  <c r="H24" i="7"/>
  <c r="E30" i="7"/>
  <c r="F30" i="7" s="1"/>
  <c r="H13" i="7"/>
  <c r="H14" i="7"/>
  <c r="E10" i="7"/>
  <c r="H16" i="7"/>
  <c r="E21" i="7"/>
  <c r="D15" i="7"/>
  <c r="E15" i="7" s="1"/>
  <c r="B17" i="7"/>
  <c r="H30" i="7"/>
  <c r="H48" i="7"/>
  <c r="D15" i="6"/>
  <c r="D20" i="6" s="1"/>
  <c r="C15" i="6"/>
  <c r="C20" i="6" s="1"/>
  <c r="B15" i="6"/>
  <c r="B20" i="6" s="1"/>
  <c r="D14" i="6"/>
  <c r="D19" i="6" s="1"/>
  <c r="C14" i="6"/>
  <c r="C19" i="6" s="1"/>
  <c r="B14" i="6"/>
  <c r="B19" i="6" s="1"/>
  <c r="G43" i="7" l="1"/>
  <c r="G32" i="7"/>
  <c r="G40" i="7" s="1"/>
  <c r="H40" i="7" s="1"/>
  <c r="G12" i="7"/>
  <c r="B39" i="7"/>
  <c r="D39" i="7" s="1"/>
  <c r="E39" i="7" s="1"/>
  <c r="D17" i="7"/>
  <c r="E17" i="7" s="1"/>
  <c r="H43" i="7"/>
  <c r="B43" i="7"/>
  <c r="G45" i="7"/>
  <c r="H45" i="7" s="1"/>
  <c r="I43" i="7"/>
  <c r="D13" i="6"/>
  <c r="D18" i="6" s="1"/>
  <c r="D21" i="6" s="1"/>
  <c r="C13" i="6"/>
  <c r="C18" i="6" s="1"/>
  <c r="C21" i="6" s="1"/>
  <c r="B13" i="6"/>
  <c r="B18" i="6" s="1"/>
  <c r="B21" i="6" s="1"/>
  <c r="G11" i="5"/>
  <c r="B32" i="5"/>
  <c r="G44" i="2"/>
  <c r="H32" i="7" l="1"/>
  <c r="H53" i="7"/>
  <c r="B45" i="7"/>
  <c r="B51" i="7"/>
  <c r="H12" i="7"/>
  <c r="B12" i="7"/>
  <c r="G18" i="7"/>
  <c r="C12" i="5"/>
  <c r="C33" i="5" s="1"/>
  <c r="B32" i="7" l="1"/>
  <c r="D12" i="7"/>
  <c r="B18" i="7"/>
  <c r="B27" i="7" s="1"/>
  <c r="G27" i="7"/>
  <c r="H18" i="7"/>
  <c r="G12" i="5"/>
  <c r="G33" i="5" s="1"/>
  <c r="D32" i="7" l="1"/>
  <c r="B40" i="7"/>
  <c r="B48" i="7" s="1"/>
  <c r="E12" i="7"/>
  <c r="D18" i="7"/>
  <c r="B12" i="5"/>
  <c r="B33" i="5" s="1"/>
  <c r="D33" i="5" s="1"/>
  <c r="H36" i="2"/>
  <c r="H44" i="2"/>
  <c r="G49" i="5"/>
  <c r="G45" i="5"/>
  <c r="H45" i="5" s="1"/>
  <c r="B39" i="5"/>
  <c r="D39" i="5" s="1"/>
  <c r="E39" i="5" s="1"/>
  <c r="B38" i="5"/>
  <c r="D38" i="5" s="1"/>
  <c r="E38" i="5" s="1"/>
  <c r="B37" i="5"/>
  <c r="D37" i="5" s="1"/>
  <c r="E37" i="5" s="1"/>
  <c r="B35" i="5"/>
  <c r="D35" i="5" s="1"/>
  <c r="E35" i="5" s="1"/>
  <c r="B34" i="5"/>
  <c r="D34" i="5" s="1"/>
  <c r="E34" i="5" s="1"/>
  <c r="B31" i="5"/>
  <c r="D31" i="5" s="1"/>
  <c r="E31" i="5" s="1"/>
  <c r="B30" i="5"/>
  <c r="B25" i="5"/>
  <c r="G24" i="5"/>
  <c r="H24" i="5" s="1"/>
  <c r="D24" i="5"/>
  <c r="E24" i="5" s="1"/>
  <c r="G23" i="5"/>
  <c r="G37" i="5" s="1"/>
  <c r="H37" i="5" s="1"/>
  <c r="D23" i="5"/>
  <c r="E23" i="5" s="1"/>
  <c r="G22" i="5"/>
  <c r="G32" i="5" s="1"/>
  <c r="D22" i="5"/>
  <c r="E22" i="5" s="1"/>
  <c r="G21" i="5"/>
  <c r="D21" i="5"/>
  <c r="E21" i="5" s="1"/>
  <c r="G17" i="5"/>
  <c r="H17" i="5" s="1"/>
  <c r="G16" i="5"/>
  <c r="G39" i="5" s="1"/>
  <c r="H39" i="5" s="1"/>
  <c r="D16" i="5"/>
  <c r="E16" i="5" s="1"/>
  <c r="B15" i="5"/>
  <c r="G14" i="5"/>
  <c r="H14" i="5" s="1"/>
  <c r="D14" i="5"/>
  <c r="E14" i="5" s="1"/>
  <c r="G13" i="5"/>
  <c r="G34" i="5" s="1"/>
  <c r="H34" i="5" s="1"/>
  <c r="D13" i="5"/>
  <c r="E13" i="5" s="1"/>
  <c r="G10" i="5"/>
  <c r="D10" i="5"/>
  <c r="E10" i="5" s="1"/>
  <c r="G9" i="5"/>
  <c r="H9" i="5" s="1"/>
  <c r="D9" i="5"/>
  <c r="E9" i="5" s="1"/>
  <c r="D12" i="5" l="1"/>
  <c r="E32" i="7"/>
  <c r="D40" i="7"/>
  <c r="D27" i="7"/>
  <c r="E27" i="7" s="1"/>
  <c r="E18" i="7"/>
  <c r="E12" i="5"/>
  <c r="H22" i="5"/>
  <c r="H49" i="5"/>
  <c r="D15" i="5"/>
  <c r="E15" i="5" s="1"/>
  <c r="G25" i="5"/>
  <c r="H25" i="5" s="1"/>
  <c r="G31" i="5"/>
  <c r="H31" i="5" s="1"/>
  <c r="I30" i="5" s="1"/>
  <c r="D25" i="5"/>
  <c r="E25" i="5" s="1"/>
  <c r="H16" i="5"/>
  <c r="H13" i="5"/>
  <c r="G35" i="5"/>
  <c r="H35" i="5" s="1"/>
  <c r="H21" i="5"/>
  <c r="H10" i="5"/>
  <c r="G30" i="5"/>
  <c r="H23" i="5"/>
  <c r="B17" i="5"/>
  <c r="D30" i="5"/>
  <c r="E30" i="5" s="1"/>
  <c r="G40" i="5"/>
  <c r="H40" i="5" s="1"/>
  <c r="G15" i="5"/>
  <c r="H15" i="5" s="1"/>
  <c r="B36" i="5"/>
  <c r="D36" i="5" s="1"/>
  <c r="E36" i="5" s="1"/>
  <c r="G38" i="5"/>
  <c r="H38" i="5" s="1"/>
  <c r="D48" i="7" l="1"/>
  <c r="E40" i="7"/>
  <c r="H30" i="5"/>
  <c r="B40" i="5"/>
  <c r="D40" i="5" s="1"/>
  <c r="E40" i="5" s="1"/>
  <c r="D17" i="5"/>
  <c r="E17" i="5" s="1"/>
  <c r="G36" i="5"/>
  <c r="H54" i="5" s="1"/>
  <c r="F30" i="5"/>
  <c r="I62" i="3"/>
  <c r="H36" i="5" l="1"/>
  <c r="B15" i="2"/>
  <c r="H32" i="5" l="1"/>
  <c r="G41" i="5"/>
  <c r="B15" i="3"/>
  <c r="B35" i="3" s="1"/>
  <c r="D35" i="3" s="1"/>
  <c r="E35" i="3" s="1"/>
  <c r="G48" i="3"/>
  <c r="H48" i="3" s="1"/>
  <c r="G44" i="3"/>
  <c r="H44" i="3" s="1"/>
  <c r="B38" i="3"/>
  <c r="D38" i="3" s="1"/>
  <c r="E38" i="3" s="1"/>
  <c r="B37" i="3"/>
  <c r="D37" i="3" s="1"/>
  <c r="E37" i="3" s="1"/>
  <c r="B36" i="3"/>
  <c r="D36" i="3" s="1"/>
  <c r="E36" i="3" s="1"/>
  <c r="B34" i="3"/>
  <c r="D34" i="3" s="1"/>
  <c r="E34" i="3" s="1"/>
  <c r="B33" i="3"/>
  <c r="D33" i="3" s="1"/>
  <c r="E33" i="3" s="1"/>
  <c r="B31" i="3"/>
  <c r="D31" i="3" s="1"/>
  <c r="E31" i="3" s="1"/>
  <c r="B25" i="3"/>
  <c r="G24" i="3"/>
  <c r="H24" i="3" s="1"/>
  <c r="D24" i="3"/>
  <c r="E24" i="3" s="1"/>
  <c r="G23" i="3"/>
  <c r="D23" i="3"/>
  <c r="E23" i="3" s="1"/>
  <c r="G22" i="3"/>
  <c r="H22" i="3" s="1"/>
  <c r="D22" i="3"/>
  <c r="E22" i="3" s="1"/>
  <c r="G21" i="3"/>
  <c r="H21" i="3" s="1"/>
  <c r="D21" i="3"/>
  <c r="G17" i="3"/>
  <c r="H17" i="3" s="1"/>
  <c r="G16" i="3"/>
  <c r="H16" i="3" s="1"/>
  <c r="D16" i="3"/>
  <c r="E16" i="3" s="1"/>
  <c r="G14" i="3"/>
  <c r="D14" i="3"/>
  <c r="E14" i="3" s="1"/>
  <c r="G13" i="3"/>
  <c r="D13" i="3"/>
  <c r="E13" i="3" s="1"/>
  <c r="G11" i="3"/>
  <c r="D11" i="3"/>
  <c r="E11" i="3" s="1"/>
  <c r="B10" i="3"/>
  <c r="E36" i="2"/>
  <c r="G49" i="2"/>
  <c r="H49" i="2" s="1"/>
  <c r="B11" i="2"/>
  <c r="G37" i="3" l="1"/>
  <c r="H37" i="3" s="1"/>
  <c r="G10" i="3"/>
  <c r="H10" i="3" s="1"/>
  <c r="H41" i="5"/>
  <c r="G44" i="5"/>
  <c r="B44" i="5" s="1"/>
  <c r="G51" i="3"/>
  <c r="G31" i="3"/>
  <c r="H31" i="3" s="1"/>
  <c r="I30" i="3" s="1"/>
  <c r="H11" i="3"/>
  <c r="G34" i="3"/>
  <c r="H34" i="3" s="1"/>
  <c r="H14" i="3"/>
  <c r="D25" i="3"/>
  <c r="E25" i="3" s="1"/>
  <c r="G33" i="3"/>
  <c r="H33" i="3" s="1"/>
  <c r="H13" i="3"/>
  <c r="G36" i="3"/>
  <c r="H36" i="3" s="1"/>
  <c r="H23" i="3"/>
  <c r="G25" i="3"/>
  <c r="H25" i="3" s="1"/>
  <c r="E21" i="3"/>
  <c r="H11" i="5"/>
  <c r="G18" i="5"/>
  <c r="G15" i="3"/>
  <c r="D15" i="3"/>
  <c r="E15" i="3" s="1"/>
  <c r="B30" i="3"/>
  <c r="G38" i="3"/>
  <c r="H38" i="3" s="1"/>
  <c r="G39" i="3"/>
  <c r="H39" i="3" s="1"/>
  <c r="D10" i="3"/>
  <c r="E10" i="3" s="1"/>
  <c r="B17" i="3"/>
  <c r="B36" i="2"/>
  <c r="G52" i="2"/>
  <c r="G17" i="2"/>
  <c r="G40" i="2" s="1"/>
  <c r="H40" i="2" s="1"/>
  <c r="B10" i="2"/>
  <c r="D10" i="2" s="1"/>
  <c r="E10" i="2" s="1"/>
  <c r="D15" i="2"/>
  <c r="E15" i="2" s="1"/>
  <c r="G11" i="2"/>
  <c r="H11" i="2" s="1"/>
  <c r="G45" i="2"/>
  <c r="H45" i="2" s="1"/>
  <c r="B39" i="2"/>
  <c r="D39" i="2" s="1"/>
  <c r="E39" i="2" s="1"/>
  <c r="B38" i="2"/>
  <c r="D38" i="2" s="1"/>
  <c r="E38" i="2" s="1"/>
  <c r="B37" i="2"/>
  <c r="D37" i="2" s="1"/>
  <c r="E37" i="2" s="1"/>
  <c r="B34" i="2"/>
  <c r="D34" i="2" s="1"/>
  <c r="E34" i="2" s="1"/>
  <c r="B33" i="2"/>
  <c r="D33" i="2" s="1"/>
  <c r="E33" i="2" s="1"/>
  <c r="B31" i="2"/>
  <c r="D31" i="2" s="1"/>
  <c r="E31" i="2" s="1"/>
  <c r="B30" i="2"/>
  <c r="D30" i="2" s="1"/>
  <c r="E30" i="2" s="1"/>
  <c r="B25" i="2"/>
  <c r="G24" i="2"/>
  <c r="D24" i="2"/>
  <c r="E24" i="2" s="1"/>
  <c r="G23" i="2"/>
  <c r="D23" i="2"/>
  <c r="E23" i="2" s="1"/>
  <c r="G22" i="2"/>
  <c r="H22" i="2" s="1"/>
  <c r="D22" i="2"/>
  <c r="E22" i="2" s="1"/>
  <c r="G21" i="2"/>
  <c r="H21" i="2" s="1"/>
  <c r="D21" i="2"/>
  <c r="E21" i="2" s="1"/>
  <c r="G16" i="2"/>
  <c r="H16" i="2" s="1"/>
  <c r="D16" i="2"/>
  <c r="E16" i="2" s="1"/>
  <c r="G14" i="2"/>
  <c r="H14" i="2" s="1"/>
  <c r="D14" i="2"/>
  <c r="E14" i="2" s="1"/>
  <c r="G13" i="2"/>
  <c r="H13" i="2" s="1"/>
  <c r="D13" i="2"/>
  <c r="E13" i="2" s="1"/>
  <c r="D11" i="2"/>
  <c r="E11" i="2" s="1"/>
  <c r="G10" i="2"/>
  <c r="H10" i="2" s="1"/>
  <c r="B50" i="1"/>
  <c r="B44" i="1"/>
  <c r="G43" i="1"/>
  <c r="H43" i="1" s="1"/>
  <c r="G42" i="1"/>
  <c r="G10" i="1"/>
  <c r="H10" i="1" s="1"/>
  <c r="G11" i="1"/>
  <c r="H11" i="1" s="1"/>
  <c r="G12" i="1"/>
  <c r="H12" i="1" s="1"/>
  <c r="G13" i="1"/>
  <c r="H13" i="1" s="1"/>
  <c r="G14" i="1"/>
  <c r="G15" i="1"/>
  <c r="G16" i="1"/>
  <c r="H16" i="1" s="1"/>
  <c r="G20" i="1"/>
  <c r="H20" i="1" s="1"/>
  <c r="G21" i="1"/>
  <c r="H21" i="1" s="1"/>
  <c r="G22" i="1"/>
  <c r="H22" i="1" s="1"/>
  <c r="G23" i="1"/>
  <c r="H23" i="1" s="1"/>
  <c r="G9" i="1"/>
  <c r="H9" i="1" s="1"/>
  <c r="G30" i="3" l="1"/>
  <c r="G37" i="1"/>
  <c r="H37" i="1" s="1"/>
  <c r="H15" i="1"/>
  <c r="B52" i="5"/>
  <c r="B46" i="5"/>
  <c r="G34" i="1"/>
  <c r="H34" i="1" s="1"/>
  <c r="H14" i="1"/>
  <c r="I42" i="1"/>
  <c r="H42" i="1"/>
  <c r="G43" i="3"/>
  <c r="H43" i="3" s="1"/>
  <c r="D11" i="5"/>
  <c r="E11" i="5" s="1"/>
  <c r="H18" i="5"/>
  <c r="I44" i="5"/>
  <c r="H30" i="3"/>
  <c r="G32" i="3"/>
  <c r="H32" i="3" s="1"/>
  <c r="G35" i="3"/>
  <c r="H35" i="3" s="1"/>
  <c r="H15" i="3"/>
  <c r="B43" i="3"/>
  <c r="G38" i="2"/>
  <c r="H38" i="2" s="1"/>
  <c r="H24" i="2"/>
  <c r="G37" i="2"/>
  <c r="H37" i="2" s="1"/>
  <c r="H23" i="2"/>
  <c r="B17" i="2"/>
  <c r="B40" i="2" s="1"/>
  <c r="D40" i="2" s="1"/>
  <c r="E40" i="2" s="1"/>
  <c r="H17" i="2"/>
  <c r="B18" i="5"/>
  <c r="B27" i="5" s="1"/>
  <c r="G44" i="1"/>
  <c r="H44" i="1" s="1"/>
  <c r="I43" i="3"/>
  <c r="B39" i="3"/>
  <c r="D39" i="3" s="1"/>
  <c r="E39" i="3" s="1"/>
  <c r="D17" i="3"/>
  <c r="E17" i="3" s="1"/>
  <c r="D30" i="3"/>
  <c r="E30" i="3" s="1"/>
  <c r="G25" i="2"/>
  <c r="H25" i="2" s="1"/>
  <c r="G15" i="2"/>
  <c r="H15" i="2" s="1"/>
  <c r="B35" i="2"/>
  <c r="D35" i="2" s="1"/>
  <c r="E35" i="2" s="1"/>
  <c r="G31" i="2"/>
  <c r="H31" i="2" s="1"/>
  <c r="D25" i="2"/>
  <c r="E25" i="2" s="1"/>
  <c r="G30" i="2"/>
  <c r="G33" i="2"/>
  <c r="H33" i="2" s="1"/>
  <c r="F30" i="2"/>
  <c r="G34" i="2"/>
  <c r="H34" i="2" s="1"/>
  <c r="G39" i="2"/>
  <c r="H39" i="2" s="1"/>
  <c r="G30" i="1"/>
  <c r="H30" i="1" s="1"/>
  <c r="G29" i="1"/>
  <c r="H29" i="1" s="1"/>
  <c r="G50" i="1"/>
  <c r="G17" i="1"/>
  <c r="H17" i="1" s="1"/>
  <c r="G31" i="1"/>
  <c r="G35" i="1"/>
  <c r="H35" i="1" s="1"/>
  <c r="G24" i="1"/>
  <c r="H24" i="1" s="1"/>
  <c r="G32" i="1"/>
  <c r="H32" i="1" s="1"/>
  <c r="G36" i="1"/>
  <c r="H36" i="1" s="1"/>
  <c r="G33" i="1"/>
  <c r="H33" i="1" s="1"/>
  <c r="G38" i="1"/>
  <c r="H38" i="1" s="1"/>
  <c r="B38" i="1"/>
  <c r="D38" i="1" s="1"/>
  <c r="E38" i="1" s="1"/>
  <c r="B37" i="1"/>
  <c r="D37" i="1" s="1"/>
  <c r="E37" i="1" s="1"/>
  <c r="B36" i="1"/>
  <c r="D36" i="1" s="1"/>
  <c r="E36" i="1" s="1"/>
  <c r="B35" i="1"/>
  <c r="D35" i="1" s="1"/>
  <c r="B34" i="1"/>
  <c r="D34" i="1" s="1"/>
  <c r="E34" i="1" s="1"/>
  <c r="B33" i="1"/>
  <c r="D33" i="1" s="1"/>
  <c r="E33" i="1" s="1"/>
  <c r="B32" i="1"/>
  <c r="D32" i="1" s="1"/>
  <c r="E32" i="1" s="1"/>
  <c r="B31" i="1"/>
  <c r="D31" i="1" s="1"/>
  <c r="E31" i="1" s="1"/>
  <c r="B30" i="1"/>
  <c r="D30" i="1" s="1"/>
  <c r="E30" i="1" s="1"/>
  <c r="B29" i="1"/>
  <c r="D29" i="1" s="1"/>
  <c r="E29" i="1" s="1"/>
  <c r="D21" i="1"/>
  <c r="E21" i="1" s="1"/>
  <c r="D22" i="1"/>
  <c r="E22" i="1" s="1"/>
  <c r="D23" i="1"/>
  <c r="E23" i="1" s="1"/>
  <c r="D20" i="1"/>
  <c r="E20" i="1" s="1"/>
  <c r="B24" i="1"/>
  <c r="D16" i="1"/>
  <c r="E16" i="1" s="1"/>
  <c r="D15" i="1"/>
  <c r="E15" i="1" s="1"/>
  <c r="D14" i="1"/>
  <c r="E14" i="1" s="1"/>
  <c r="B17" i="1"/>
  <c r="B26" i="1" s="1"/>
  <c r="D10" i="1"/>
  <c r="E10" i="1" s="1"/>
  <c r="D11" i="1"/>
  <c r="E11" i="1" s="1"/>
  <c r="D12" i="1"/>
  <c r="E12" i="1" s="1"/>
  <c r="D13" i="1"/>
  <c r="E13" i="1" s="1"/>
  <c r="D9" i="1"/>
  <c r="E9" i="1" s="1"/>
  <c r="I58" i="7" l="1"/>
  <c r="I57" i="7"/>
  <c r="I59" i="2"/>
  <c r="I58" i="2"/>
  <c r="I60" i="2" s="1"/>
  <c r="B45" i="3"/>
  <c r="B51" i="3"/>
  <c r="H53" i="3"/>
  <c r="I59" i="5"/>
  <c r="I58" i="5"/>
  <c r="H44" i="5"/>
  <c r="G46" i="5"/>
  <c r="I57" i="3"/>
  <c r="I58" i="3"/>
  <c r="H30" i="2"/>
  <c r="D17" i="2"/>
  <c r="E17" i="2" s="1"/>
  <c r="H31" i="1"/>
  <c r="D18" i="5"/>
  <c r="D32" i="5"/>
  <c r="B41" i="5"/>
  <c r="B49" i="5" s="1"/>
  <c r="G35" i="2"/>
  <c r="H35" i="2" s="1"/>
  <c r="F29" i="1"/>
  <c r="I29" i="1"/>
  <c r="G45" i="3"/>
  <c r="H45" i="3" s="1"/>
  <c r="F30" i="3"/>
  <c r="G12" i="3"/>
  <c r="H12" i="3" s="1"/>
  <c r="G40" i="3"/>
  <c r="H40" i="3" s="1"/>
  <c r="G32" i="2"/>
  <c r="H32" i="2" s="1"/>
  <c r="I30" i="2"/>
  <c r="D39" i="1"/>
  <c r="E35" i="1"/>
  <c r="B39" i="1"/>
  <c r="B47" i="1" s="1"/>
  <c r="G39" i="1"/>
  <c r="H39" i="1" s="1"/>
  <c r="D24" i="1"/>
  <c r="E24" i="1" s="1"/>
  <c r="D17" i="1"/>
  <c r="E17" i="1" s="1"/>
  <c r="I59" i="3" l="1"/>
  <c r="I64" i="3" s="1"/>
  <c r="I60" i="7"/>
  <c r="E32" i="5"/>
  <c r="D41" i="5"/>
  <c r="E41" i="5" s="1"/>
  <c r="E18" i="5"/>
  <c r="D27" i="5"/>
  <c r="E27" i="5" s="1"/>
  <c r="I61" i="5"/>
  <c r="H46" i="5"/>
  <c r="G52" i="5"/>
  <c r="H52" i="5" s="1"/>
  <c r="H54" i="2"/>
  <c r="G41" i="2"/>
  <c r="H41" i="2" s="1"/>
  <c r="E39" i="1"/>
  <c r="B12" i="3"/>
  <c r="G18" i="3"/>
  <c r="H18" i="3" s="1"/>
  <c r="G12" i="2"/>
  <c r="H12" i="2" s="1"/>
  <c r="G47" i="1"/>
  <c r="D47" i="1" s="1"/>
  <c r="D26" i="1"/>
  <c r="E26" i="1" s="1"/>
  <c r="H50" i="1" l="1"/>
  <c r="H47" i="1"/>
  <c r="H52" i="1"/>
  <c r="D49" i="5"/>
  <c r="D12" i="3"/>
  <c r="E12" i="3" s="1"/>
  <c r="B32" i="3"/>
  <c r="B18" i="3"/>
  <c r="B27" i="3" s="1"/>
  <c r="B12" i="2"/>
  <c r="G18" i="2"/>
  <c r="H18" i="2" s="1"/>
  <c r="G46" i="2"/>
  <c r="H46" i="2" s="1"/>
  <c r="B52" i="2" l="1"/>
  <c r="B46" i="2"/>
  <c r="D18" i="3"/>
  <c r="E18" i="3" s="1"/>
  <c r="D32" i="3"/>
  <c r="E32" i="3" s="1"/>
  <c r="B40" i="3"/>
  <c r="B48" i="3" s="1"/>
  <c r="D12" i="2"/>
  <c r="E12" i="2" s="1"/>
  <c r="B32" i="2"/>
  <c r="B18" i="2"/>
  <c r="B27" i="2" s="1"/>
  <c r="D40" i="3" l="1"/>
  <c r="D27" i="3"/>
  <c r="E27" i="3" s="1"/>
  <c r="D32" i="2"/>
  <c r="E32" i="2" s="1"/>
  <c r="B41" i="2"/>
  <c r="B49" i="2" s="1"/>
  <c r="D18" i="2"/>
  <c r="E18" i="2" s="1"/>
  <c r="E40" i="3" l="1"/>
  <c r="D48" i="3"/>
  <c r="D27" i="2"/>
  <c r="E27" i="2" s="1"/>
  <c r="D41" i="2"/>
  <c r="D49" i="2" l="1"/>
  <c r="E41" i="2"/>
</calcChain>
</file>

<file path=xl/sharedStrings.xml><?xml version="1.0" encoding="utf-8"?>
<sst xmlns="http://schemas.openxmlformats.org/spreadsheetml/2006/main" count="374" uniqueCount="99">
  <si>
    <t>Coal</t>
  </si>
  <si>
    <t>Natural Gas</t>
  </si>
  <si>
    <t>Fuel Oil</t>
  </si>
  <si>
    <t>Gas Oil</t>
  </si>
  <si>
    <t>Consumption</t>
  </si>
  <si>
    <t>ktoe</t>
  </si>
  <si>
    <t>Emission Factor</t>
  </si>
  <si>
    <t>ktCO2/ktoe</t>
  </si>
  <si>
    <t>Emissions</t>
  </si>
  <si>
    <t>Percent</t>
  </si>
  <si>
    <t>kt</t>
  </si>
  <si>
    <t>Total</t>
  </si>
  <si>
    <t>Central Power Stations</t>
  </si>
  <si>
    <t>CHP Plants</t>
  </si>
  <si>
    <t>Milled Peat</t>
  </si>
  <si>
    <t>Refinery Gas</t>
  </si>
  <si>
    <t>Non Renewable Waste</t>
  </si>
  <si>
    <t>LFG</t>
  </si>
  <si>
    <t>Biomass &amp; Renewable Waste</t>
  </si>
  <si>
    <t>Biogas</t>
  </si>
  <si>
    <t>Estimated Gen Efficiency</t>
  </si>
  <si>
    <t>%</t>
  </si>
  <si>
    <t>Estimated Electricity Output</t>
  </si>
  <si>
    <t>Gwh</t>
  </si>
  <si>
    <t>Coal + Milled Peat</t>
  </si>
  <si>
    <t>Fuel Use, CO2 Emissions and Electricity Output  From Power Generation 2015</t>
  </si>
  <si>
    <t>Energy Use for PowerGen</t>
  </si>
  <si>
    <t>Thermal Power Stations</t>
  </si>
  <si>
    <t>Total Thermal PowerGen</t>
  </si>
  <si>
    <t>Wind &amp; Hydro Generation</t>
  </si>
  <si>
    <t>Hydro</t>
  </si>
  <si>
    <t>Wind</t>
  </si>
  <si>
    <t>Total Renewables</t>
  </si>
  <si>
    <t>Total Generation</t>
  </si>
  <si>
    <t>Total Thermal</t>
  </si>
  <si>
    <t>Renewables</t>
  </si>
  <si>
    <t>Total Generation 2020</t>
  </si>
  <si>
    <t>Total Renewables 2020</t>
  </si>
  <si>
    <t xml:space="preserve">Mayo Renewable Power </t>
  </si>
  <si>
    <t>MW</t>
  </si>
  <si>
    <t>If Electricity Demand Growth is 2% p.a. 2015-2020</t>
  </si>
  <si>
    <t>Fuel Use, CO2 Emissions and Electricity Output from Power Generation 2020</t>
  </si>
  <si>
    <t>If Electricity Demand Growth is 2% p.a. 2015-2030</t>
  </si>
  <si>
    <t>Moneypoint Wood Pellets</t>
  </si>
  <si>
    <t>Wind + Solar</t>
  </si>
  <si>
    <t>Emissions Rate</t>
  </si>
  <si>
    <t>t/MWh</t>
  </si>
  <si>
    <t>Emission Rate</t>
  </si>
  <si>
    <t>Fuel Use, CO2 Emissions and Electricity Output from Power Generation 2030,  with High Biomass Use</t>
  </si>
  <si>
    <t>Dispatchable Generation</t>
  </si>
  <si>
    <t>Investment Requirements</t>
  </si>
  <si>
    <t xml:space="preserve">Wind </t>
  </si>
  <si>
    <t xml:space="preserve">   Wind Farm @€1750/kW</t>
  </si>
  <si>
    <t xml:space="preserve">  Network Reinforcment @500/kW</t>
  </si>
  <si>
    <t>€m</t>
  </si>
  <si>
    <t xml:space="preserve">Moneypoint </t>
  </si>
  <si>
    <t xml:space="preserve">  Wood Pellet Capex @€500/kW</t>
  </si>
  <si>
    <t xml:space="preserve">  Extra Interconnection 500MW </t>
  </si>
  <si>
    <t>Total Generation 2030</t>
  </si>
  <si>
    <t>Total Renewables 2030</t>
  </si>
  <si>
    <t>Fuel Use, CO2 Emissions and Electricity Output from Power Generation 2030,  Base Case</t>
  </si>
  <si>
    <t>Natural Gas with CCS</t>
  </si>
  <si>
    <t xml:space="preserve">  Network Reinforcement @500/kW</t>
  </si>
  <si>
    <t>CCS Guesstimate</t>
  </si>
  <si>
    <t>Total Fossil Fuel</t>
  </si>
  <si>
    <t>Fuel Use, CO2 Emissions and Electricity Output from Power Generation 2030,  with Cork Harbour CCS</t>
  </si>
  <si>
    <t>Base Case</t>
  </si>
  <si>
    <t>High Biomass</t>
  </si>
  <si>
    <t>Cork Harbour CCS</t>
  </si>
  <si>
    <t>Emissions                                            kt</t>
  </si>
  <si>
    <t>Generation                                      GWh</t>
  </si>
  <si>
    <t xml:space="preserve">Fuel Use                                         </t>
  </si>
  <si>
    <t xml:space="preserve">  Biomass &amp; Renewable Waste ktoe</t>
  </si>
  <si>
    <t xml:space="preserve">  Moneypoint Wood Pellets      ktoe</t>
  </si>
  <si>
    <t xml:space="preserve">  Natural Gas                                   ktoe</t>
  </si>
  <si>
    <t>€/toe</t>
  </si>
  <si>
    <t>Projected Fuel Prices 2030 in 2015 values</t>
  </si>
  <si>
    <t>Projected Fuel Costs 2030</t>
  </si>
  <si>
    <t xml:space="preserve">  Wood Pellets</t>
  </si>
  <si>
    <t xml:space="preserve">  Natural Gas @ NBP</t>
  </si>
  <si>
    <t xml:space="preserve">  Wood Chips</t>
  </si>
  <si>
    <t xml:space="preserve">Estimated Capital Investment Requirements </t>
  </si>
  <si>
    <t>Note 1 Argus Biomass Markets April 2016.  1.2US$/€</t>
  </si>
  <si>
    <t>Note 2 0.8£/€</t>
  </si>
  <si>
    <t>Note 3  Teagasc Estimate for Willow Chips</t>
  </si>
  <si>
    <r>
      <t xml:space="preserve">  Wood Pellets @ $140/t cif Moneypoint                        </t>
    </r>
    <r>
      <rPr>
        <sz val="8"/>
        <color theme="1"/>
        <rFont val="Calibri"/>
        <family val="2"/>
        <scheme val="minor"/>
      </rPr>
      <t>Note 1</t>
    </r>
  </si>
  <si>
    <r>
      <t xml:space="preserve">  Natural Gas DECC Central Projection 68p/therm       </t>
    </r>
    <r>
      <rPr>
        <sz val="8"/>
        <color theme="1"/>
        <rFont val="Calibri"/>
        <family val="2"/>
        <scheme val="minor"/>
      </rPr>
      <t>Note 2</t>
    </r>
    <r>
      <rPr>
        <sz val="11"/>
        <color theme="1"/>
        <rFont val="Calibri"/>
        <family val="2"/>
        <scheme val="minor"/>
      </rPr>
      <t xml:space="preserve">        </t>
    </r>
  </si>
  <si>
    <t xml:space="preserve">   Dispatchable Capacity Increase                             MW</t>
  </si>
  <si>
    <t xml:space="preserve">   Dispatchable Capacity Decrease                           MW</t>
  </si>
  <si>
    <t>Evaluation of Emission Reduction Strategies for the Power Gen Sector  2030</t>
  </si>
  <si>
    <t xml:space="preserve">Generation Capacity, Difference from Base Case               </t>
  </si>
  <si>
    <r>
      <t xml:space="preserve">  Wood Chips @  €100/t @15%mc delivered                  </t>
    </r>
    <r>
      <rPr>
        <sz val="8"/>
        <color theme="1"/>
        <rFont val="Calibri"/>
        <family val="2"/>
        <scheme val="minor"/>
      </rPr>
      <t>Note 3</t>
    </r>
  </si>
  <si>
    <t>Dispatchable Generation                                          MWh</t>
  </si>
  <si>
    <t>Technical Risk</t>
  </si>
  <si>
    <t>High</t>
  </si>
  <si>
    <t>Low</t>
  </si>
  <si>
    <t>Medium</t>
  </si>
  <si>
    <t>Financial Uncertainty</t>
  </si>
  <si>
    <t>Public Acceptability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</si>
</sst>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" fontId="0" fillId="0" borderId="0" xfId="0" applyNumberFormat="1"/>
    <xf numFmtId="1" fontId="1" fillId="0" borderId="0" xfId="0" applyNumberFormat="1" applyFont="1"/>
    <xf numFmtId="164" fontId="1" fillId="0" borderId="0" xfId="0" applyNumberFormat="1" applyFont="1"/>
    <xf numFmtId="0" fontId="3" fillId="0" borderId="0" xfId="0" applyFont="1"/>
    <xf numFmtId="1" fontId="3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5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opLeftCell="A49" zoomScaleNormal="100" workbookViewId="0">
      <selection activeCell="E61" sqref="E61"/>
    </sheetView>
  </sheetViews>
  <sheetFormatPr defaultRowHeight="14.5" x14ac:dyDescent="0.35"/>
  <cols>
    <col min="1" max="1" width="27.26953125" customWidth="1"/>
    <col min="2" max="2" width="18.1796875" customWidth="1"/>
    <col min="3" max="3" width="18" customWidth="1"/>
    <col min="4" max="5" width="18.26953125" customWidth="1"/>
    <col min="6" max="6" width="22.1796875" customWidth="1"/>
    <col min="7" max="7" width="27.26953125" customWidth="1"/>
    <col min="8" max="8" width="18.54296875" customWidth="1"/>
    <col min="9" max="9" width="18.453125" customWidth="1"/>
  </cols>
  <sheetData>
    <row r="1" spans="1:9" ht="15" customHeight="1" x14ac:dyDescent="0.35">
      <c r="A1" s="43" t="s">
        <v>25</v>
      </c>
      <c r="B1" s="43"/>
      <c r="C1" s="43"/>
      <c r="D1" s="43"/>
      <c r="E1" s="43"/>
      <c r="F1" s="43"/>
      <c r="G1" s="43"/>
      <c r="H1" s="43"/>
      <c r="I1" s="43"/>
    </row>
    <row r="2" spans="1:9" ht="15" customHeight="1" x14ac:dyDescent="0.35">
      <c r="A2" s="43"/>
      <c r="B2" s="43"/>
      <c r="C2" s="43"/>
      <c r="D2" s="43"/>
      <c r="E2" s="43"/>
      <c r="F2" s="43"/>
      <c r="G2" s="43"/>
      <c r="H2" s="43"/>
      <c r="I2" s="43"/>
    </row>
    <row r="4" spans="1:9" x14ac:dyDescent="0.35">
      <c r="A4" s="1" t="s">
        <v>26</v>
      </c>
      <c r="B4" s="2" t="s">
        <v>4</v>
      </c>
      <c r="C4" s="2" t="s">
        <v>6</v>
      </c>
      <c r="D4" s="2" t="s">
        <v>8</v>
      </c>
      <c r="E4" s="2" t="s">
        <v>9</v>
      </c>
      <c r="F4" s="2" t="s">
        <v>20</v>
      </c>
      <c r="G4" s="2" t="s">
        <v>22</v>
      </c>
      <c r="H4" s="2" t="s">
        <v>9</v>
      </c>
    </row>
    <row r="5" spans="1:9" x14ac:dyDescent="0.35">
      <c r="A5" s="1"/>
      <c r="B5" s="3" t="s">
        <v>5</v>
      </c>
      <c r="C5" s="3" t="s">
        <v>7</v>
      </c>
      <c r="D5" s="3" t="s">
        <v>10</v>
      </c>
      <c r="E5" s="3"/>
      <c r="F5" s="3" t="s">
        <v>21</v>
      </c>
      <c r="G5" s="3" t="s">
        <v>23</v>
      </c>
      <c r="H5" s="3" t="s">
        <v>21</v>
      </c>
    </row>
    <row r="6" spans="1:9" ht="15.5" x14ac:dyDescent="0.35">
      <c r="A6" s="12" t="s">
        <v>27</v>
      </c>
      <c r="B6" s="3"/>
      <c r="C6" s="3"/>
      <c r="D6" s="3"/>
      <c r="E6" s="3"/>
    </row>
    <row r="7" spans="1:9" ht="15.5" x14ac:dyDescent="0.35">
      <c r="A7" s="12"/>
      <c r="B7" s="3"/>
      <c r="C7" s="3"/>
      <c r="D7" s="3"/>
      <c r="E7" s="3"/>
    </row>
    <row r="8" spans="1:9" x14ac:dyDescent="0.35">
      <c r="A8" s="1" t="s">
        <v>12</v>
      </c>
      <c r="B8" s="3"/>
      <c r="C8" s="3"/>
      <c r="D8" s="3"/>
      <c r="E8" s="3"/>
    </row>
    <row r="9" spans="1:9" x14ac:dyDescent="0.35">
      <c r="A9" t="s">
        <v>0</v>
      </c>
      <c r="B9">
        <v>1127</v>
      </c>
      <c r="C9">
        <v>3.9609999999999999</v>
      </c>
      <c r="D9" s="5">
        <f>(B9*C9)</f>
        <v>4464.0469999999996</v>
      </c>
      <c r="E9" s="4">
        <f>(D9/12066*100)</f>
        <v>36.996908668987231</v>
      </c>
      <c r="F9">
        <v>37</v>
      </c>
      <c r="G9" s="5">
        <f>(B9*41.868/3.6)*(F9/100)</f>
        <v>4849.5937000000004</v>
      </c>
      <c r="H9" s="4">
        <f>(G9/27913)*100</f>
        <v>17.373960878443736</v>
      </c>
    </row>
    <row r="10" spans="1:9" x14ac:dyDescent="0.35">
      <c r="A10" t="s">
        <v>14</v>
      </c>
      <c r="B10">
        <v>547</v>
      </c>
      <c r="C10">
        <v>4.8860000000000001</v>
      </c>
      <c r="D10" s="5">
        <f t="shared" ref="D10:D16" si="0">(B10*C10)</f>
        <v>2672.6420000000003</v>
      </c>
      <c r="E10" s="4">
        <f t="shared" ref="E10:E39" si="1">(D10/12066*100)</f>
        <v>22.150190618266205</v>
      </c>
      <c r="F10">
        <v>37.5</v>
      </c>
      <c r="G10" s="5">
        <f t="shared" ref="G10:G23" si="2">(B10*41.868/3.6)*(F10/100)</f>
        <v>2385.6037500000002</v>
      </c>
      <c r="H10" s="4">
        <f t="shared" ref="H10:H47" si="3">(G10/27913)*100</f>
        <v>8.5465688030666715</v>
      </c>
    </row>
    <row r="11" spans="1:9" x14ac:dyDescent="0.35">
      <c r="A11" t="s">
        <v>1</v>
      </c>
      <c r="B11">
        <v>1620</v>
      </c>
      <c r="C11">
        <v>2.3820000000000001</v>
      </c>
      <c r="D11" s="5">
        <f t="shared" si="0"/>
        <v>3858.84</v>
      </c>
      <c r="E11" s="4">
        <f t="shared" si="1"/>
        <v>31.981103928393832</v>
      </c>
      <c r="F11">
        <v>55</v>
      </c>
      <c r="G11" s="5">
        <f t="shared" si="2"/>
        <v>10362.330000000002</v>
      </c>
      <c r="H11" s="4">
        <f t="shared" si="3"/>
        <v>37.123669974563825</v>
      </c>
    </row>
    <row r="12" spans="1:9" x14ac:dyDescent="0.35">
      <c r="A12" t="s">
        <v>2</v>
      </c>
      <c r="B12">
        <v>58</v>
      </c>
      <c r="C12">
        <v>3.1819999999999999</v>
      </c>
      <c r="D12" s="5">
        <f t="shared" si="0"/>
        <v>184.55599999999998</v>
      </c>
      <c r="E12" s="4">
        <f t="shared" si="1"/>
        <v>1.5295541190121</v>
      </c>
      <c r="F12">
        <v>30</v>
      </c>
      <c r="G12" s="5">
        <f t="shared" si="2"/>
        <v>202.36199999999999</v>
      </c>
      <c r="H12" s="4">
        <f t="shared" si="3"/>
        <v>0.72497402643929343</v>
      </c>
    </row>
    <row r="13" spans="1:9" x14ac:dyDescent="0.35">
      <c r="A13" t="s">
        <v>3</v>
      </c>
      <c r="B13">
        <v>19</v>
      </c>
      <c r="C13">
        <v>3.069</v>
      </c>
      <c r="D13" s="5">
        <f t="shared" si="0"/>
        <v>58.311</v>
      </c>
      <c r="E13" s="4">
        <f t="shared" si="1"/>
        <v>0.4832670313276976</v>
      </c>
      <c r="F13">
        <v>30</v>
      </c>
      <c r="G13" s="5">
        <f t="shared" si="2"/>
        <v>66.291000000000011</v>
      </c>
      <c r="H13" s="4">
        <f t="shared" si="3"/>
        <v>0.23749149141976861</v>
      </c>
    </row>
    <row r="14" spans="1:9" x14ac:dyDescent="0.35">
      <c r="A14" t="s">
        <v>18</v>
      </c>
      <c r="B14">
        <v>66</v>
      </c>
      <c r="C14">
        <v>0</v>
      </c>
      <c r="D14" s="5">
        <f t="shared" si="0"/>
        <v>0</v>
      </c>
      <c r="E14" s="4">
        <f t="shared" si="1"/>
        <v>0</v>
      </c>
      <c r="F14">
        <v>37.5</v>
      </c>
      <c r="G14" s="5">
        <f t="shared" si="2"/>
        <v>287.84250000000003</v>
      </c>
      <c r="H14" s="4">
        <f t="shared" si="3"/>
        <v>1.0312130548489953</v>
      </c>
    </row>
    <row r="15" spans="1:9" x14ac:dyDescent="0.35">
      <c r="A15" t="s">
        <v>17</v>
      </c>
      <c r="B15">
        <v>40</v>
      </c>
      <c r="C15">
        <v>0</v>
      </c>
      <c r="D15" s="5">
        <f t="shared" si="0"/>
        <v>0</v>
      </c>
      <c r="E15" s="4">
        <f t="shared" si="1"/>
        <v>0</v>
      </c>
      <c r="F15">
        <v>40</v>
      </c>
      <c r="G15" s="5">
        <f t="shared" si="2"/>
        <v>186.08</v>
      </c>
      <c r="H15" s="4">
        <f t="shared" si="3"/>
        <v>0.66664278293268375</v>
      </c>
    </row>
    <row r="16" spans="1:9" x14ac:dyDescent="0.35">
      <c r="A16" t="s">
        <v>16</v>
      </c>
      <c r="B16" s="8">
        <v>25</v>
      </c>
      <c r="C16">
        <v>4</v>
      </c>
      <c r="D16" s="9">
        <f t="shared" si="0"/>
        <v>100</v>
      </c>
      <c r="E16" s="10">
        <f t="shared" si="1"/>
        <v>0.82877507044588106</v>
      </c>
      <c r="F16">
        <v>25</v>
      </c>
      <c r="G16" s="9">
        <f t="shared" si="2"/>
        <v>72.6875</v>
      </c>
      <c r="H16" s="10">
        <f t="shared" si="3"/>
        <v>0.26040733708307956</v>
      </c>
    </row>
    <row r="17" spans="1:9" x14ac:dyDescent="0.35">
      <c r="A17" s="1" t="s">
        <v>11</v>
      </c>
      <c r="B17">
        <f>SUM(B9:B16)</f>
        <v>3502</v>
      </c>
      <c r="D17" s="5">
        <f>SUM(D9:D16)</f>
        <v>11338.396000000001</v>
      </c>
      <c r="E17" s="4">
        <f t="shared" si="1"/>
        <v>93.96979943643295</v>
      </c>
      <c r="G17" s="5">
        <f>SUM(G9:G16)</f>
        <v>18412.790450000004</v>
      </c>
      <c r="H17" s="4">
        <f t="shared" si="3"/>
        <v>65.964928348798068</v>
      </c>
    </row>
    <row r="18" spans="1:9" x14ac:dyDescent="0.35">
      <c r="E18" s="4"/>
      <c r="G18" s="5"/>
      <c r="H18" s="4"/>
    </row>
    <row r="19" spans="1:9" x14ac:dyDescent="0.35">
      <c r="A19" s="1" t="s">
        <v>13</v>
      </c>
      <c r="E19" s="4"/>
      <c r="G19" s="5"/>
      <c r="H19" s="4"/>
    </row>
    <row r="20" spans="1:9" x14ac:dyDescent="0.35">
      <c r="A20" t="s">
        <v>14</v>
      </c>
      <c r="B20">
        <v>8</v>
      </c>
      <c r="C20">
        <v>4.8860000000000001</v>
      </c>
      <c r="D20" s="5">
        <f>(B20*C20)</f>
        <v>39.088000000000001</v>
      </c>
      <c r="E20" s="4">
        <f t="shared" si="1"/>
        <v>0.32395159953588598</v>
      </c>
      <c r="F20">
        <v>50</v>
      </c>
      <c r="G20" s="5">
        <f t="shared" si="2"/>
        <v>46.52</v>
      </c>
      <c r="H20" s="4">
        <f t="shared" si="3"/>
        <v>0.16666069573317094</v>
      </c>
    </row>
    <row r="21" spans="1:9" x14ac:dyDescent="0.35">
      <c r="A21" t="s">
        <v>1</v>
      </c>
      <c r="B21">
        <v>258</v>
      </c>
      <c r="C21">
        <v>2.3820000000000001</v>
      </c>
      <c r="D21" s="5">
        <f t="shared" ref="D21:D23" si="4">(B21*C21)</f>
        <v>614.55600000000004</v>
      </c>
      <c r="E21" s="4">
        <f t="shared" si="1"/>
        <v>5.0932869219293888</v>
      </c>
      <c r="F21">
        <v>60</v>
      </c>
      <c r="G21" s="5">
        <f t="shared" si="2"/>
        <v>1800.3240000000003</v>
      </c>
      <c r="H21" s="4">
        <f t="shared" si="3"/>
        <v>6.4497689248737151</v>
      </c>
    </row>
    <row r="22" spans="1:9" x14ac:dyDescent="0.35">
      <c r="A22" t="s">
        <v>15</v>
      </c>
      <c r="B22">
        <v>10</v>
      </c>
      <c r="C22">
        <v>2.6669999999999998</v>
      </c>
      <c r="D22" s="5">
        <f t="shared" si="4"/>
        <v>26.669999999999998</v>
      </c>
      <c r="E22" s="4">
        <f t="shared" si="1"/>
        <v>0.22103431128791645</v>
      </c>
      <c r="F22">
        <v>50</v>
      </c>
      <c r="G22" s="5">
        <f t="shared" si="2"/>
        <v>58.15</v>
      </c>
      <c r="H22" s="4">
        <f t="shared" si="3"/>
        <v>0.20832586966646363</v>
      </c>
    </row>
    <row r="23" spans="1:9" x14ac:dyDescent="0.35">
      <c r="A23" t="s">
        <v>19</v>
      </c>
      <c r="B23" s="8">
        <v>5</v>
      </c>
      <c r="C23">
        <v>0</v>
      </c>
      <c r="D23" s="9">
        <f t="shared" si="4"/>
        <v>0</v>
      </c>
      <c r="E23" s="10">
        <f t="shared" si="1"/>
        <v>0</v>
      </c>
      <c r="F23">
        <v>45</v>
      </c>
      <c r="G23" s="9">
        <f t="shared" si="2"/>
        <v>26.1675</v>
      </c>
      <c r="H23" s="10">
        <f t="shared" si="3"/>
        <v>9.3746641349908649E-2</v>
      </c>
    </row>
    <row r="24" spans="1:9" x14ac:dyDescent="0.35">
      <c r="A24" s="1" t="s">
        <v>11</v>
      </c>
      <c r="B24">
        <f>SUM(B20:B23)</f>
        <v>281</v>
      </c>
      <c r="D24" s="5">
        <f>SUM(D20:D23)</f>
        <v>680.31399999999996</v>
      </c>
      <c r="E24" s="4">
        <f t="shared" si="1"/>
        <v>5.6382728327531906</v>
      </c>
      <c r="G24" s="5">
        <f>SUM(G20:G23)</f>
        <v>1931.1615000000004</v>
      </c>
      <c r="H24" s="4">
        <f t="shared" si="3"/>
        <v>6.9185021316232591</v>
      </c>
    </row>
    <row r="25" spans="1:9" x14ac:dyDescent="0.35">
      <c r="E25" s="4"/>
      <c r="G25" s="5"/>
      <c r="H25" s="4"/>
    </row>
    <row r="26" spans="1:9" x14ac:dyDescent="0.35">
      <c r="A26" s="1" t="s">
        <v>28</v>
      </c>
      <c r="B26" s="1">
        <f>(B17+B24)</f>
        <v>3783</v>
      </c>
      <c r="C26" s="1"/>
      <c r="D26" s="6">
        <f>(D17+D24)</f>
        <v>12018.710000000001</v>
      </c>
      <c r="E26" s="4">
        <f t="shared" si="1"/>
        <v>99.608072269186152</v>
      </c>
      <c r="G26" s="5"/>
      <c r="H26" s="4"/>
    </row>
    <row r="27" spans="1:9" x14ac:dyDescent="0.35">
      <c r="E27" s="4"/>
      <c r="H27" s="4"/>
    </row>
    <row r="28" spans="1:9" x14ac:dyDescent="0.35">
      <c r="E28" s="4"/>
      <c r="F28" s="2" t="s">
        <v>24</v>
      </c>
      <c r="H28" s="4"/>
      <c r="I28" s="2" t="s">
        <v>24</v>
      </c>
    </row>
    <row r="29" spans="1:9" x14ac:dyDescent="0.35">
      <c r="A29" t="s">
        <v>0</v>
      </c>
      <c r="B29">
        <f>(B9)</f>
        <v>1127</v>
      </c>
      <c r="C29">
        <v>3.9609999999999999</v>
      </c>
      <c r="D29" s="5">
        <f>(B29*C29)</f>
        <v>4464.0469999999996</v>
      </c>
      <c r="E29" s="4">
        <f t="shared" si="1"/>
        <v>36.996908668987231</v>
      </c>
      <c r="F29" s="41">
        <f>(E29+E30)</f>
        <v>59.471050886789321</v>
      </c>
      <c r="G29" s="5">
        <f>(G9)</f>
        <v>4849.5937000000004</v>
      </c>
      <c r="H29" s="4">
        <f t="shared" si="3"/>
        <v>17.373960878443736</v>
      </c>
      <c r="I29" s="41">
        <f>(H29+H30)</f>
        <v>26.08719037724358</v>
      </c>
    </row>
    <row r="30" spans="1:9" x14ac:dyDescent="0.35">
      <c r="A30" t="s">
        <v>14</v>
      </c>
      <c r="B30">
        <f>(B10+B20)</f>
        <v>555</v>
      </c>
      <c r="C30">
        <v>4.8860000000000001</v>
      </c>
      <c r="D30" s="5">
        <f t="shared" ref="D30:D38" si="5">(B30*C30)</f>
        <v>2711.73</v>
      </c>
      <c r="E30" s="4">
        <f t="shared" si="1"/>
        <v>22.47414221780209</v>
      </c>
      <c r="F30" s="42"/>
      <c r="G30" s="5">
        <f>(G10+G20)</f>
        <v>2432.1237500000002</v>
      </c>
      <c r="H30" s="4">
        <f t="shared" si="3"/>
        <v>8.7132294987998424</v>
      </c>
      <c r="I30" s="42"/>
    </row>
    <row r="31" spans="1:9" x14ac:dyDescent="0.35">
      <c r="A31" t="s">
        <v>1</v>
      </c>
      <c r="B31">
        <f>(B11+B21)</f>
        <v>1878</v>
      </c>
      <c r="C31">
        <v>2.3820000000000001</v>
      </c>
      <c r="D31" s="5">
        <f t="shared" si="5"/>
        <v>4473.3960000000006</v>
      </c>
      <c r="E31" s="4">
        <f t="shared" si="1"/>
        <v>37.074390850323233</v>
      </c>
      <c r="G31" s="5">
        <f>(G11+G21)</f>
        <v>12162.654000000002</v>
      </c>
      <c r="H31" s="4">
        <f t="shared" si="3"/>
        <v>43.573438899437548</v>
      </c>
    </row>
    <row r="32" spans="1:9" x14ac:dyDescent="0.35">
      <c r="A32" t="s">
        <v>2</v>
      </c>
      <c r="B32">
        <f>(B12)</f>
        <v>58</v>
      </c>
      <c r="C32">
        <v>3.1819999999999999</v>
      </c>
      <c r="D32" s="5">
        <f t="shared" si="5"/>
        <v>184.55599999999998</v>
      </c>
      <c r="E32" s="4">
        <f t="shared" si="1"/>
        <v>1.5295541190121</v>
      </c>
      <c r="G32" s="5">
        <f>(G12)</f>
        <v>202.36199999999999</v>
      </c>
      <c r="H32" s="4">
        <f t="shared" si="3"/>
        <v>0.72497402643929343</v>
      </c>
    </row>
    <row r="33" spans="1:9" x14ac:dyDescent="0.35">
      <c r="A33" t="s">
        <v>3</v>
      </c>
      <c r="B33">
        <f>(B13)</f>
        <v>19</v>
      </c>
      <c r="C33">
        <v>3.069</v>
      </c>
      <c r="D33" s="5">
        <f t="shared" si="5"/>
        <v>58.311</v>
      </c>
      <c r="E33" s="4">
        <f t="shared" si="1"/>
        <v>0.4832670313276976</v>
      </c>
      <c r="G33" s="5">
        <f>(G13)</f>
        <v>66.291000000000011</v>
      </c>
      <c r="H33" s="4">
        <f t="shared" si="3"/>
        <v>0.23749149141976861</v>
      </c>
    </row>
    <row r="34" spans="1:9" x14ac:dyDescent="0.35">
      <c r="A34" t="s">
        <v>18</v>
      </c>
      <c r="B34">
        <f>(B14)</f>
        <v>66</v>
      </c>
      <c r="C34">
        <v>0</v>
      </c>
      <c r="D34" s="5">
        <f t="shared" si="5"/>
        <v>0</v>
      </c>
      <c r="E34" s="4">
        <f t="shared" si="1"/>
        <v>0</v>
      </c>
      <c r="G34" s="5">
        <f>(G14)</f>
        <v>287.84250000000003</v>
      </c>
      <c r="H34" s="4">
        <f t="shared" si="3"/>
        <v>1.0312130548489953</v>
      </c>
    </row>
    <row r="35" spans="1:9" x14ac:dyDescent="0.35">
      <c r="A35" t="s">
        <v>15</v>
      </c>
      <c r="B35">
        <f>(B22)</f>
        <v>10</v>
      </c>
      <c r="C35">
        <v>2.6669999999999998</v>
      </c>
      <c r="D35" s="5">
        <f t="shared" si="5"/>
        <v>26.669999999999998</v>
      </c>
      <c r="E35" s="4">
        <f t="shared" si="1"/>
        <v>0.22103431128791645</v>
      </c>
      <c r="G35" s="5">
        <f>(G22)</f>
        <v>58.15</v>
      </c>
      <c r="H35" s="4">
        <f t="shared" si="3"/>
        <v>0.20832586966646363</v>
      </c>
    </row>
    <row r="36" spans="1:9" x14ac:dyDescent="0.35">
      <c r="A36" t="s">
        <v>19</v>
      </c>
      <c r="B36">
        <f>(B23)</f>
        <v>5</v>
      </c>
      <c r="C36">
        <v>0</v>
      </c>
      <c r="D36" s="5">
        <f t="shared" si="5"/>
        <v>0</v>
      </c>
      <c r="E36" s="4">
        <f t="shared" si="1"/>
        <v>0</v>
      </c>
      <c r="G36" s="5">
        <f>(G23)</f>
        <v>26.1675</v>
      </c>
      <c r="H36" s="4">
        <f t="shared" si="3"/>
        <v>9.3746641349908649E-2</v>
      </c>
    </row>
    <row r="37" spans="1:9" x14ac:dyDescent="0.35">
      <c r="A37" t="s">
        <v>17</v>
      </c>
      <c r="B37">
        <f>(B15)</f>
        <v>40</v>
      </c>
      <c r="C37">
        <v>0</v>
      </c>
      <c r="D37" s="5">
        <f t="shared" si="5"/>
        <v>0</v>
      </c>
      <c r="E37" s="4">
        <f t="shared" si="1"/>
        <v>0</v>
      </c>
      <c r="G37" s="5">
        <f>(G15)</f>
        <v>186.08</v>
      </c>
      <c r="H37" s="4">
        <f t="shared" si="3"/>
        <v>0.66664278293268375</v>
      </c>
    </row>
    <row r="38" spans="1:9" x14ac:dyDescent="0.35">
      <c r="A38" t="s">
        <v>16</v>
      </c>
      <c r="B38">
        <f>(B16)</f>
        <v>25</v>
      </c>
      <c r="C38">
        <v>4</v>
      </c>
      <c r="D38" s="5">
        <f t="shared" si="5"/>
        <v>100</v>
      </c>
      <c r="E38" s="4">
        <f t="shared" si="1"/>
        <v>0.82877507044588106</v>
      </c>
      <c r="G38" s="5">
        <f>(G16)</f>
        <v>72.6875</v>
      </c>
      <c r="H38" s="10">
        <f t="shared" si="3"/>
        <v>0.26040733708307956</v>
      </c>
    </row>
    <row r="39" spans="1:9" x14ac:dyDescent="0.35">
      <c r="A39" s="1" t="s">
        <v>34</v>
      </c>
      <c r="B39" s="1">
        <f>SUM(B29:B38)</f>
        <v>3783</v>
      </c>
      <c r="C39" s="1"/>
      <c r="D39" s="6">
        <f>SUM(D29:D38)</f>
        <v>12018.710000000001</v>
      </c>
      <c r="E39" s="7">
        <f t="shared" si="1"/>
        <v>99.608072269186152</v>
      </c>
      <c r="G39" s="5">
        <f>SUM(G29:G38)</f>
        <v>20343.951950000006</v>
      </c>
      <c r="H39" s="4">
        <f t="shared" si="3"/>
        <v>72.883430480421325</v>
      </c>
    </row>
    <row r="40" spans="1:9" x14ac:dyDescent="0.35">
      <c r="H40" s="4"/>
    </row>
    <row r="41" spans="1:9" ht="15.5" x14ac:dyDescent="0.35">
      <c r="A41" s="12" t="s">
        <v>29</v>
      </c>
      <c r="H41" s="4"/>
      <c r="I41" s="2" t="s">
        <v>39</v>
      </c>
    </row>
    <row r="42" spans="1:9" x14ac:dyDescent="0.35">
      <c r="A42" t="s">
        <v>31</v>
      </c>
      <c r="B42">
        <v>565</v>
      </c>
      <c r="C42">
        <v>0</v>
      </c>
      <c r="D42">
        <v>0</v>
      </c>
      <c r="E42">
        <v>0</v>
      </c>
      <c r="F42">
        <v>100</v>
      </c>
      <c r="G42" s="5">
        <f>(B42*42.186/3.6)</f>
        <v>6620.8583333333336</v>
      </c>
      <c r="H42" s="4">
        <f t="shared" si="3"/>
        <v>23.719622875840411</v>
      </c>
      <c r="I42" s="18">
        <f>(G42/8.76)/0.3</f>
        <v>2519.3524860476919</v>
      </c>
    </row>
    <row r="43" spans="1:9" x14ac:dyDescent="0.35">
      <c r="A43" t="s">
        <v>30</v>
      </c>
      <c r="B43" s="8">
        <v>69</v>
      </c>
      <c r="C43">
        <v>0</v>
      </c>
      <c r="D43">
        <v>0</v>
      </c>
      <c r="E43">
        <v>0</v>
      </c>
      <c r="F43">
        <v>100</v>
      </c>
      <c r="G43" s="9">
        <f>(B43*42.186/3.6)</f>
        <v>808.56499999999994</v>
      </c>
      <c r="H43" s="10">
        <f t="shared" si="3"/>
        <v>2.8967327051911291</v>
      </c>
    </row>
    <row r="44" spans="1:9" x14ac:dyDescent="0.35">
      <c r="A44" s="1" t="s">
        <v>11</v>
      </c>
      <c r="B44" s="1">
        <f>SUM(B42:B43)</f>
        <v>634</v>
      </c>
      <c r="G44" s="6">
        <f>SUM(G42:G43)</f>
        <v>7429.4233333333332</v>
      </c>
      <c r="H44" s="4">
        <f t="shared" si="3"/>
        <v>26.616355581031538</v>
      </c>
    </row>
    <row r="45" spans="1:9" x14ac:dyDescent="0.35">
      <c r="A45" s="1"/>
      <c r="B45" s="1"/>
      <c r="D45" s="37" t="s">
        <v>47</v>
      </c>
      <c r="G45" s="6"/>
      <c r="H45" s="4"/>
    </row>
    <row r="46" spans="1:9" x14ac:dyDescent="0.35">
      <c r="D46" s="36" t="s">
        <v>46</v>
      </c>
      <c r="H46" s="4"/>
    </row>
    <row r="47" spans="1:9" ht="15.5" x14ac:dyDescent="0.35">
      <c r="A47" s="12" t="s">
        <v>33</v>
      </c>
      <c r="B47" s="1">
        <f>(B39+B44)</f>
        <v>4417</v>
      </c>
      <c r="D47" s="38">
        <f>(D39/G47)</f>
        <v>0.43274214521604681</v>
      </c>
      <c r="G47" s="6">
        <f>(G39+G44)</f>
        <v>27773.375283333338</v>
      </c>
      <c r="H47" s="4">
        <f t="shared" si="3"/>
        <v>99.499786061452866</v>
      </c>
    </row>
    <row r="48" spans="1:9" ht="15.5" x14ac:dyDescent="0.35">
      <c r="A48" s="12"/>
      <c r="B48" s="1"/>
      <c r="D48" s="38"/>
      <c r="G48" s="6"/>
      <c r="H48" s="25" t="s">
        <v>35</v>
      </c>
    </row>
    <row r="49" spans="1:8" x14ac:dyDescent="0.35">
      <c r="H49" s="3" t="s">
        <v>21</v>
      </c>
    </row>
    <row r="50" spans="1:8" ht="15.5" x14ac:dyDescent="0.35">
      <c r="A50" s="12" t="s">
        <v>32</v>
      </c>
      <c r="B50" s="1">
        <f>(B14+B15+B23+B42+B43)</f>
        <v>745</v>
      </c>
      <c r="G50" s="6">
        <f>(G14+G15+G23+G42+G43)</f>
        <v>7929.5133333333333</v>
      </c>
      <c r="H50" s="13">
        <f>(G50/G47)*100</f>
        <v>28.550773006303608</v>
      </c>
    </row>
    <row r="52" spans="1:8" ht="15.5" x14ac:dyDescent="0.35">
      <c r="A52" s="12" t="s">
        <v>49</v>
      </c>
      <c r="H52" s="4">
        <f>(G29+G30+G31+G32+G33+G34+G43)/G47*100</f>
        <v>74.925829999811498</v>
      </c>
    </row>
    <row r="56" spans="1:8" x14ac:dyDescent="0.35">
      <c r="E56" s="1"/>
    </row>
    <row r="57" spans="1:8" x14ac:dyDescent="0.35">
      <c r="E57" s="11"/>
    </row>
    <row r="61" spans="1:8" x14ac:dyDescent="0.35">
      <c r="E61" s="39"/>
    </row>
  </sheetData>
  <mergeCells count="3">
    <mergeCell ref="F29:F30"/>
    <mergeCell ref="I29:I30"/>
    <mergeCell ref="A1:I2"/>
  </mergeCells>
  <pageMargins left="0.25" right="0.25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0"/>
  <sheetViews>
    <sheetView topLeftCell="A31" zoomScale="89" zoomScaleNormal="89" workbookViewId="0">
      <selection activeCell="F50" sqref="F50"/>
    </sheetView>
  </sheetViews>
  <sheetFormatPr defaultRowHeight="14.5" x14ac:dyDescent="0.35"/>
  <cols>
    <col min="1" max="1" width="31" customWidth="1"/>
    <col min="2" max="3" width="16.453125" customWidth="1"/>
    <col min="4" max="4" width="16.26953125" customWidth="1"/>
    <col min="5" max="5" width="18" customWidth="1"/>
    <col min="6" max="6" width="25.7265625" customWidth="1"/>
    <col min="7" max="7" width="24.7265625" customWidth="1"/>
    <col min="8" max="8" width="18.453125" customWidth="1"/>
    <col min="9" max="9" width="18.26953125" customWidth="1"/>
  </cols>
  <sheetData>
    <row r="1" spans="1:9" x14ac:dyDescent="0.35">
      <c r="A1" s="43" t="s">
        <v>41</v>
      </c>
      <c r="B1" s="43"/>
      <c r="C1" s="43"/>
      <c r="D1" s="43"/>
      <c r="E1" s="43"/>
      <c r="F1" s="43"/>
      <c r="G1" s="43"/>
      <c r="H1" s="43"/>
      <c r="I1" s="43"/>
    </row>
    <row r="2" spans="1:9" x14ac:dyDescent="0.35">
      <c r="A2" s="43"/>
      <c r="B2" s="43"/>
      <c r="C2" s="43"/>
      <c r="D2" s="43"/>
      <c r="E2" s="43"/>
      <c r="F2" s="43"/>
      <c r="G2" s="43"/>
      <c r="H2" s="43"/>
      <c r="I2" s="43"/>
    </row>
    <row r="3" spans="1:9" ht="15.5" x14ac:dyDescent="0.35">
      <c r="A3" s="44" t="s">
        <v>40</v>
      </c>
      <c r="B3" s="42"/>
      <c r="C3" s="42"/>
      <c r="D3" s="42"/>
      <c r="E3" s="42"/>
      <c r="F3" s="42"/>
      <c r="G3" s="42"/>
      <c r="H3" s="42"/>
      <c r="I3" s="42"/>
    </row>
    <row r="4" spans="1:9" ht="15.5" x14ac:dyDescent="0.35">
      <c r="A4" s="14"/>
      <c r="B4" s="11"/>
      <c r="C4" s="11"/>
      <c r="D4" s="11"/>
      <c r="E4" s="11"/>
      <c r="F4" s="11"/>
      <c r="G4" s="11"/>
      <c r="H4" s="11"/>
      <c r="I4" s="11"/>
    </row>
    <row r="5" spans="1:9" x14ac:dyDescent="0.35">
      <c r="A5" s="1" t="s">
        <v>26</v>
      </c>
      <c r="B5" s="2" t="s">
        <v>4</v>
      </c>
      <c r="C5" s="2" t="s">
        <v>6</v>
      </c>
      <c r="D5" s="2" t="s">
        <v>8</v>
      </c>
      <c r="E5" s="2" t="s">
        <v>8</v>
      </c>
      <c r="F5" s="2" t="s">
        <v>20</v>
      </c>
      <c r="G5" s="2" t="s">
        <v>22</v>
      </c>
      <c r="H5" s="2" t="s">
        <v>9</v>
      </c>
    </row>
    <row r="6" spans="1:9" x14ac:dyDescent="0.35">
      <c r="A6" s="1"/>
      <c r="B6" s="3" t="s">
        <v>5</v>
      </c>
      <c r="C6" s="3" t="s">
        <v>7</v>
      </c>
      <c r="D6" s="3" t="s">
        <v>10</v>
      </c>
      <c r="E6" s="3" t="s">
        <v>21</v>
      </c>
      <c r="F6" s="3" t="s">
        <v>21</v>
      </c>
      <c r="G6" s="3" t="s">
        <v>23</v>
      </c>
      <c r="H6" s="3" t="s">
        <v>21</v>
      </c>
    </row>
    <row r="7" spans="1:9" ht="15.5" x14ac:dyDescent="0.35">
      <c r="A7" s="12" t="s">
        <v>27</v>
      </c>
      <c r="B7" s="3"/>
      <c r="C7" s="3"/>
      <c r="D7" s="3"/>
      <c r="E7" s="3"/>
    </row>
    <row r="8" spans="1:9" ht="15.5" x14ac:dyDescent="0.35">
      <c r="A8" s="12"/>
      <c r="B8" s="3"/>
      <c r="C8" s="3"/>
      <c r="D8" s="3"/>
      <c r="E8" s="3"/>
    </row>
    <row r="9" spans="1:9" x14ac:dyDescent="0.35">
      <c r="A9" s="1" t="s">
        <v>12</v>
      </c>
      <c r="B9" s="3"/>
      <c r="C9" s="3"/>
      <c r="D9" s="3"/>
      <c r="E9" s="3"/>
    </row>
    <row r="10" spans="1:9" x14ac:dyDescent="0.35">
      <c r="A10" t="s">
        <v>0</v>
      </c>
      <c r="B10">
        <f>(1127*0.5)</f>
        <v>563.5</v>
      </c>
      <c r="C10">
        <v>3.9609999999999999</v>
      </c>
      <c r="D10" s="5">
        <f>(B10*C10)</f>
        <v>2232.0234999999998</v>
      </c>
      <c r="E10" s="4">
        <f>(D10/9541*100)</f>
        <v>23.394020542920028</v>
      </c>
      <c r="F10">
        <v>37</v>
      </c>
      <c r="G10" s="5">
        <f>(B10*41.868/3.6)*(F10/100)</f>
        <v>2424.7968500000002</v>
      </c>
      <c r="H10" s="4">
        <f>(G10/30818)*100</f>
        <v>7.8681187942111759</v>
      </c>
    </row>
    <row r="11" spans="1:9" x14ac:dyDescent="0.35">
      <c r="A11" t="s">
        <v>14</v>
      </c>
      <c r="B11">
        <f>(547/2)</f>
        <v>273.5</v>
      </c>
      <c r="C11">
        <v>4.8860000000000001</v>
      </c>
      <c r="D11" s="5">
        <f t="shared" ref="D11:D17" si="0">(B11*C11)</f>
        <v>1336.3210000000001</v>
      </c>
      <c r="E11" s="4">
        <f t="shared" ref="E11:E27" si="1">(D11/9541*100)</f>
        <v>14.006089508437272</v>
      </c>
      <c r="F11">
        <v>37.5</v>
      </c>
      <c r="G11" s="5">
        <f t="shared" ref="G11:G24" si="2">(B11*41.868/3.6)*(F11/100)</f>
        <v>1192.8018750000001</v>
      </c>
      <c r="H11" s="4">
        <f t="shared" ref="H11:H49" si="3">(G11/30818)*100</f>
        <v>3.8704713965864106</v>
      </c>
    </row>
    <row r="12" spans="1:9" x14ac:dyDescent="0.35">
      <c r="A12" t="s">
        <v>1</v>
      </c>
      <c r="B12" s="5">
        <f>(G12*100/F12)*(3.6/41.868)</f>
        <v>1913.0960292086227</v>
      </c>
      <c r="C12">
        <v>2.3820000000000001</v>
      </c>
      <c r="D12" s="5">
        <f t="shared" si="0"/>
        <v>4556.9947415749393</v>
      </c>
      <c r="E12" s="4">
        <f t="shared" si="1"/>
        <v>47.762233954249446</v>
      </c>
      <c r="F12">
        <v>55</v>
      </c>
      <c r="G12" s="5">
        <f>(G32-G22)</f>
        <v>12237.118750832953</v>
      </c>
      <c r="H12" s="4">
        <f t="shared" si="3"/>
        <v>39.707699236916582</v>
      </c>
    </row>
    <row r="13" spans="1:9" x14ac:dyDescent="0.35">
      <c r="A13" t="s">
        <v>2</v>
      </c>
      <c r="B13">
        <v>58</v>
      </c>
      <c r="C13">
        <v>3.1819999999999999</v>
      </c>
      <c r="D13" s="5">
        <f t="shared" si="0"/>
        <v>184.55599999999998</v>
      </c>
      <c r="E13" s="4">
        <f t="shared" si="1"/>
        <v>1.9343465045592705</v>
      </c>
      <c r="F13">
        <v>30</v>
      </c>
      <c r="G13" s="5">
        <f t="shared" si="2"/>
        <v>202.36199999999999</v>
      </c>
      <c r="H13" s="4">
        <f t="shared" si="3"/>
        <v>0.6566357323642027</v>
      </c>
    </row>
    <row r="14" spans="1:9" x14ac:dyDescent="0.35">
      <c r="A14" t="s">
        <v>3</v>
      </c>
      <c r="B14">
        <v>19</v>
      </c>
      <c r="C14">
        <v>3.069</v>
      </c>
      <c r="D14" s="5">
        <f t="shared" si="0"/>
        <v>58.311</v>
      </c>
      <c r="E14" s="4">
        <f t="shared" si="1"/>
        <v>0.61116235195472168</v>
      </c>
      <c r="F14">
        <v>30</v>
      </c>
      <c r="G14" s="5">
        <f t="shared" si="2"/>
        <v>66.291000000000011</v>
      </c>
      <c r="H14" s="4">
        <f t="shared" si="3"/>
        <v>0.21510480887792852</v>
      </c>
    </row>
    <row r="15" spans="1:9" x14ac:dyDescent="0.35">
      <c r="A15" t="s">
        <v>18</v>
      </c>
      <c r="B15" s="5">
        <f>(66+(547*0.33))</f>
        <v>246.51000000000002</v>
      </c>
      <c r="C15">
        <v>0</v>
      </c>
      <c r="D15" s="5">
        <f t="shared" si="0"/>
        <v>0</v>
      </c>
      <c r="E15" s="4">
        <f t="shared" si="1"/>
        <v>0</v>
      </c>
      <c r="F15">
        <v>37.5</v>
      </c>
      <c r="G15" s="5">
        <f t="shared" si="2"/>
        <v>1075.0917375000004</v>
      </c>
      <c r="H15" s="4">
        <f t="shared" si="3"/>
        <v>3.4885188445064585</v>
      </c>
    </row>
    <row r="16" spans="1:9" x14ac:dyDescent="0.35">
      <c r="A16" t="s">
        <v>17</v>
      </c>
      <c r="B16">
        <v>40</v>
      </c>
      <c r="C16">
        <v>0</v>
      </c>
      <c r="D16" s="5">
        <f t="shared" si="0"/>
        <v>0</v>
      </c>
      <c r="E16" s="4">
        <f t="shared" si="1"/>
        <v>0</v>
      </c>
      <c r="F16">
        <v>40</v>
      </c>
      <c r="G16" s="5">
        <f t="shared" si="2"/>
        <v>186.08</v>
      </c>
      <c r="H16" s="4">
        <f t="shared" si="3"/>
        <v>0.6038029722889221</v>
      </c>
    </row>
    <row r="17" spans="1:9" x14ac:dyDescent="0.35">
      <c r="A17" t="s">
        <v>16</v>
      </c>
      <c r="B17" s="9">
        <f>(G17*100/F17)*(3.6/41.868)</f>
        <v>111.0920034393809</v>
      </c>
      <c r="C17">
        <v>4</v>
      </c>
      <c r="D17" s="9">
        <f t="shared" si="0"/>
        <v>444.36801375752361</v>
      </c>
      <c r="E17" s="4">
        <f t="shared" si="1"/>
        <v>4.6574574337860142</v>
      </c>
      <c r="F17">
        <v>25</v>
      </c>
      <c r="G17" s="9">
        <f>(73+250)</f>
        <v>323</v>
      </c>
      <c r="H17" s="10">
        <f t="shared" si="3"/>
        <v>1.0480887792848335</v>
      </c>
    </row>
    <row r="18" spans="1:9" x14ac:dyDescent="0.35">
      <c r="A18" s="1" t="s">
        <v>11</v>
      </c>
      <c r="B18" s="5">
        <f>SUM(B10:B17)</f>
        <v>3224.6980326480038</v>
      </c>
      <c r="D18" s="5">
        <f>SUM(D10:D17)</f>
        <v>8812.5742553324617</v>
      </c>
      <c r="E18" s="4">
        <f t="shared" si="1"/>
        <v>92.365310295906738</v>
      </c>
      <c r="G18" s="5">
        <f>SUM(G10:G17)</f>
        <v>17707.542213332952</v>
      </c>
      <c r="H18" s="4">
        <f t="shared" si="3"/>
        <v>57.458440565036504</v>
      </c>
    </row>
    <row r="19" spans="1:9" x14ac:dyDescent="0.35">
      <c r="E19" s="4"/>
      <c r="G19" s="5"/>
      <c r="H19" s="4"/>
    </row>
    <row r="20" spans="1:9" x14ac:dyDescent="0.35">
      <c r="A20" s="1" t="s">
        <v>13</v>
      </c>
      <c r="E20" s="4"/>
      <c r="G20" s="5"/>
      <c r="H20" s="4"/>
    </row>
    <row r="21" spans="1:9" x14ac:dyDescent="0.35">
      <c r="A21" t="s">
        <v>14</v>
      </c>
      <c r="B21">
        <v>8</v>
      </c>
      <c r="C21">
        <v>4.8860000000000001</v>
      </c>
      <c r="D21" s="5">
        <f>(B21*C21)</f>
        <v>39.088000000000001</v>
      </c>
      <c r="E21" s="4">
        <f t="shared" si="1"/>
        <v>0.40968451944240647</v>
      </c>
      <c r="F21">
        <v>50</v>
      </c>
      <c r="G21" s="5">
        <f t="shared" si="2"/>
        <v>46.52</v>
      </c>
      <c r="H21" s="4">
        <f t="shared" si="3"/>
        <v>0.15095074307223053</v>
      </c>
    </row>
    <row r="22" spans="1:9" x14ac:dyDescent="0.35">
      <c r="A22" t="s">
        <v>1</v>
      </c>
      <c r="B22">
        <v>278</v>
      </c>
      <c r="C22">
        <v>2.3820000000000001</v>
      </c>
      <c r="D22" s="5">
        <f t="shared" ref="D22:D24" si="4">(B22*C22)</f>
        <v>662.19600000000003</v>
      </c>
      <c r="E22" s="4">
        <f t="shared" si="1"/>
        <v>6.9405303427313703</v>
      </c>
      <c r="F22">
        <v>60</v>
      </c>
      <c r="G22" s="5">
        <f t="shared" si="2"/>
        <v>1939.8839999999998</v>
      </c>
      <c r="H22" s="4">
        <f t="shared" si="3"/>
        <v>6.2946459861120116</v>
      </c>
    </row>
    <row r="23" spans="1:9" x14ac:dyDescent="0.35">
      <c r="A23" t="s">
        <v>15</v>
      </c>
      <c r="B23">
        <v>10</v>
      </c>
      <c r="C23">
        <v>2.6669999999999998</v>
      </c>
      <c r="D23" s="5">
        <f t="shared" si="4"/>
        <v>26.669999999999998</v>
      </c>
      <c r="E23" s="4">
        <f t="shared" si="1"/>
        <v>0.27953044754218637</v>
      </c>
      <c r="F23">
        <v>50</v>
      </c>
      <c r="G23" s="5">
        <f t="shared" si="2"/>
        <v>58.15</v>
      </c>
      <c r="H23" s="4">
        <f t="shared" si="3"/>
        <v>0.18868842884028814</v>
      </c>
    </row>
    <row r="24" spans="1:9" x14ac:dyDescent="0.35">
      <c r="A24" t="s">
        <v>19</v>
      </c>
      <c r="B24" s="8">
        <v>5</v>
      </c>
      <c r="C24">
        <v>0</v>
      </c>
      <c r="D24" s="9">
        <f t="shared" si="4"/>
        <v>0</v>
      </c>
      <c r="E24" s="4">
        <f t="shared" si="1"/>
        <v>0</v>
      </c>
      <c r="F24">
        <v>45</v>
      </c>
      <c r="G24" s="9">
        <f t="shared" si="2"/>
        <v>26.1675</v>
      </c>
      <c r="H24" s="10">
        <f t="shared" si="3"/>
        <v>8.4909792978129672E-2</v>
      </c>
    </row>
    <row r="25" spans="1:9" x14ac:dyDescent="0.35">
      <c r="A25" s="1" t="s">
        <v>11</v>
      </c>
      <c r="B25">
        <f>SUM(B21:B24)</f>
        <v>301</v>
      </c>
      <c r="D25" s="5">
        <f>SUM(D21:D24)</f>
        <v>727.95399999999995</v>
      </c>
      <c r="E25" s="4">
        <f t="shared" si="1"/>
        <v>7.6297453097159611</v>
      </c>
      <c r="G25" s="5">
        <f>SUM(G21:G24)</f>
        <v>2070.7214999999997</v>
      </c>
      <c r="H25" s="4">
        <f t="shared" si="3"/>
        <v>6.7191949510026587</v>
      </c>
    </row>
    <row r="26" spans="1:9" x14ac:dyDescent="0.35">
      <c r="E26" s="4"/>
      <c r="G26" s="5"/>
      <c r="H26" s="4"/>
    </row>
    <row r="27" spans="1:9" x14ac:dyDescent="0.35">
      <c r="A27" s="1" t="s">
        <v>28</v>
      </c>
      <c r="B27" s="6">
        <f>(B18+B25)</f>
        <v>3525.6980326480038</v>
      </c>
      <c r="C27" s="1"/>
      <c r="D27" s="6">
        <f>(D18+D25)</f>
        <v>9540.5282553324614</v>
      </c>
      <c r="E27" s="4">
        <f t="shared" si="1"/>
        <v>99.995055605622696</v>
      </c>
      <c r="G27" s="5"/>
      <c r="H27" s="4"/>
    </row>
    <row r="28" spans="1:9" x14ac:dyDescent="0.35">
      <c r="E28" s="4"/>
      <c r="H28" s="4"/>
    </row>
    <row r="29" spans="1:9" x14ac:dyDescent="0.35">
      <c r="E29" s="4"/>
      <c r="F29" s="2" t="s">
        <v>24</v>
      </c>
      <c r="H29" s="4"/>
      <c r="I29" s="2" t="s">
        <v>24</v>
      </c>
    </row>
    <row r="30" spans="1:9" x14ac:dyDescent="0.35">
      <c r="A30" t="s">
        <v>0</v>
      </c>
      <c r="B30">
        <f>(B10)</f>
        <v>563.5</v>
      </c>
      <c r="C30">
        <v>3.9609999999999999</v>
      </c>
      <c r="D30" s="5">
        <f>(B30*C30)</f>
        <v>2232.0234999999998</v>
      </c>
      <c r="E30" s="4">
        <f>(D30/9541*100)</f>
        <v>23.394020542920028</v>
      </c>
      <c r="F30" s="41">
        <f>(E30+E31)</f>
        <v>37.809794570799703</v>
      </c>
      <c r="G30" s="5">
        <f>(G10)</f>
        <v>2424.7968500000002</v>
      </c>
      <c r="H30" s="4">
        <f t="shared" si="3"/>
        <v>7.8681187942111759</v>
      </c>
      <c r="I30" s="41">
        <f>(H30+H31)</f>
        <v>11.889540933869817</v>
      </c>
    </row>
    <row r="31" spans="1:9" x14ac:dyDescent="0.35">
      <c r="A31" t="s">
        <v>14</v>
      </c>
      <c r="B31">
        <f>(B11+B21)</f>
        <v>281.5</v>
      </c>
      <c r="C31">
        <v>4.8860000000000001</v>
      </c>
      <c r="D31" s="5">
        <f t="shared" ref="D31:D40" si="5">(B31*C31)</f>
        <v>1375.4090000000001</v>
      </c>
      <c r="E31" s="4">
        <f t="shared" ref="E31:E41" si="6">(D31/9541*100)</f>
        <v>14.415774027879676</v>
      </c>
      <c r="F31" s="42"/>
      <c r="G31" s="5">
        <f>(G11+G21)</f>
        <v>1239.3218750000001</v>
      </c>
      <c r="H31" s="4">
        <f t="shared" si="3"/>
        <v>4.0214221396586414</v>
      </c>
      <c r="I31" s="42"/>
    </row>
    <row r="32" spans="1:9" x14ac:dyDescent="0.35">
      <c r="A32" t="s">
        <v>1</v>
      </c>
      <c r="B32" s="5">
        <f>(B12+B22)</f>
        <v>2191.0960292086229</v>
      </c>
      <c r="C32">
        <v>2.3820000000000001</v>
      </c>
      <c r="D32" s="5">
        <f t="shared" si="5"/>
        <v>5219.1907415749401</v>
      </c>
      <c r="E32" s="4">
        <f t="shared" si="6"/>
        <v>54.702764296980824</v>
      </c>
      <c r="G32" s="5">
        <f>(G49-G52-G40-G37-G34-G33-G31-G30)</f>
        <v>14177.002750832953</v>
      </c>
      <c r="H32" s="4">
        <f t="shared" si="3"/>
        <v>46.002345223028598</v>
      </c>
    </row>
    <row r="33" spans="1:9" x14ac:dyDescent="0.35">
      <c r="A33" t="s">
        <v>2</v>
      </c>
      <c r="B33">
        <f>(B13)</f>
        <v>58</v>
      </c>
      <c r="C33">
        <v>3.1819999999999999</v>
      </c>
      <c r="D33" s="5">
        <f t="shared" si="5"/>
        <v>184.55599999999998</v>
      </c>
      <c r="E33" s="4">
        <f t="shared" si="6"/>
        <v>1.9343465045592705</v>
      </c>
      <c r="G33" s="5">
        <f>(G13)</f>
        <v>202.36199999999999</v>
      </c>
      <c r="H33" s="4">
        <f t="shared" si="3"/>
        <v>0.6566357323642027</v>
      </c>
    </row>
    <row r="34" spans="1:9" x14ac:dyDescent="0.35">
      <c r="A34" t="s">
        <v>3</v>
      </c>
      <c r="B34">
        <f>(B14)</f>
        <v>19</v>
      </c>
      <c r="C34">
        <v>3.069</v>
      </c>
      <c r="D34" s="5">
        <f t="shared" si="5"/>
        <v>58.311</v>
      </c>
      <c r="E34" s="4">
        <f t="shared" si="6"/>
        <v>0.61116235195472168</v>
      </c>
      <c r="G34" s="5">
        <f>(G14)</f>
        <v>66.291000000000011</v>
      </c>
      <c r="H34" s="4">
        <f t="shared" si="3"/>
        <v>0.21510480887792852</v>
      </c>
    </row>
    <row r="35" spans="1:9" x14ac:dyDescent="0.35">
      <c r="A35" t="s">
        <v>18</v>
      </c>
      <c r="B35">
        <f>(B15)</f>
        <v>246.51000000000002</v>
      </c>
      <c r="C35">
        <v>0</v>
      </c>
      <c r="D35" s="5">
        <f t="shared" si="5"/>
        <v>0</v>
      </c>
      <c r="E35" s="4">
        <f t="shared" si="6"/>
        <v>0</v>
      </c>
      <c r="G35" s="5">
        <f>(G15)</f>
        <v>1075.0917375000004</v>
      </c>
      <c r="H35" s="4">
        <f t="shared" si="3"/>
        <v>3.4885188445064585</v>
      </c>
    </row>
    <row r="36" spans="1:9" x14ac:dyDescent="0.35">
      <c r="A36" t="s">
        <v>38</v>
      </c>
      <c r="B36" s="5" t="e">
        <f>(#REF!)</f>
        <v>#REF!</v>
      </c>
      <c r="C36">
        <v>0</v>
      </c>
      <c r="D36" s="5">
        <v>0</v>
      </c>
      <c r="E36" s="4">
        <f t="shared" si="6"/>
        <v>0</v>
      </c>
      <c r="G36" s="5">
        <v>280</v>
      </c>
      <c r="H36" s="4">
        <f t="shared" si="3"/>
        <v>0.90855993250697642</v>
      </c>
    </row>
    <row r="37" spans="1:9" x14ac:dyDescent="0.35">
      <c r="A37" t="s">
        <v>15</v>
      </c>
      <c r="B37">
        <f>(B23)</f>
        <v>10</v>
      </c>
      <c r="C37">
        <v>2.6669999999999998</v>
      </c>
      <c r="D37" s="5">
        <f t="shared" si="5"/>
        <v>26.669999999999998</v>
      </c>
      <c r="E37" s="4">
        <f t="shared" si="6"/>
        <v>0.27953044754218637</v>
      </c>
      <c r="G37" s="5">
        <f>(G23)</f>
        <v>58.15</v>
      </c>
      <c r="H37" s="4">
        <f t="shared" si="3"/>
        <v>0.18868842884028814</v>
      </c>
    </row>
    <row r="38" spans="1:9" x14ac:dyDescent="0.35">
      <c r="A38" t="s">
        <v>19</v>
      </c>
      <c r="B38">
        <f>(B24)</f>
        <v>5</v>
      </c>
      <c r="C38">
        <v>0</v>
      </c>
      <c r="D38" s="5">
        <f t="shared" si="5"/>
        <v>0</v>
      </c>
      <c r="E38" s="4">
        <f t="shared" si="6"/>
        <v>0</v>
      </c>
      <c r="G38" s="5">
        <f>(G24)</f>
        <v>26.1675</v>
      </c>
      <c r="H38" s="4">
        <f t="shared" si="3"/>
        <v>8.4909792978129672E-2</v>
      </c>
    </row>
    <row r="39" spans="1:9" x14ac:dyDescent="0.35">
      <c r="A39" t="s">
        <v>17</v>
      </c>
      <c r="B39">
        <f>(B16)</f>
        <v>40</v>
      </c>
      <c r="C39">
        <v>0</v>
      </c>
      <c r="D39" s="5">
        <f t="shared" si="5"/>
        <v>0</v>
      </c>
      <c r="E39" s="4">
        <f t="shared" si="6"/>
        <v>0</v>
      </c>
      <c r="G39" s="5">
        <f>(G16)</f>
        <v>186.08</v>
      </c>
      <c r="H39" s="4">
        <f t="shared" si="3"/>
        <v>0.6038029722889221</v>
      </c>
    </row>
    <row r="40" spans="1:9" x14ac:dyDescent="0.35">
      <c r="A40" t="s">
        <v>16</v>
      </c>
      <c r="B40" s="5">
        <f>(B17)</f>
        <v>111.0920034393809</v>
      </c>
      <c r="C40">
        <v>4</v>
      </c>
      <c r="D40" s="5">
        <f t="shared" si="5"/>
        <v>444.36801375752361</v>
      </c>
      <c r="E40" s="4">
        <f t="shared" si="6"/>
        <v>4.6574574337860142</v>
      </c>
      <c r="G40" s="5">
        <f>(G17)</f>
        <v>323</v>
      </c>
      <c r="H40" s="10">
        <f t="shared" si="3"/>
        <v>1.0480887792848335</v>
      </c>
    </row>
    <row r="41" spans="1:9" x14ac:dyDescent="0.35">
      <c r="A41" s="1" t="s">
        <v>34</v>
      </c>
      <c r="B41" s="6" t="e">
        <f>SUM(B30:B40)</f>
        <v>#REF!</v>
      </c>
      <c r="C41" s="1"/>
      <c r="D41" s="6">
        <f>SUM(D30:D40)</f>
        <v>9540.5282553324632</v>
      </c>
      <c r="E41" s="4">
        <f t="shared" si="6"/>
        <v>99.995055605622724</v>
      </c>
      <c r="G41" s="5">
        <f>SUM(G30:G40)</f>
        <v>20058.263713332955</v>
      </c>
      <c r="H41" s="4">
        <f t="shared" si="3"/>
        <v>65.086195448546164</v>
      </c>
    </row>
    <row r="42" spans="1:9" x14ac:dyDescent="0.35">
      <c r="H42" s="4"/>
    </row>
    <row r="43" spans="1:9" ht="15.5" x14ac:dyDescent="0.35">
      <c r="A43" s="12" t="s">
        <v>29</v>
      </c>
      <c r="H43" s="4"/>
      <c r="I43" s="2" t="s">
        <v>39</v>
      </c>
    </row>
    <row r="44" spans="1:9" x14ac:dyDescent="0.35">
      <c r="A44" t="s">
        <v>31</v>
      </c>
      <c r="B44" s="5">
        <v>855.66455256996051</v>
      </c>
      <c r="C44">
        <v>0</v>
      </c>
      <c r="D44">
        <v>0</v>
      </c>
      <c r="E44">
        <v>0</v>
      </c>
      <c r="F44">
        <v>100</v>
      </c>
      <c r="G44" s="5">
        <f>(B44*41.868/3.6)</f>
        <v>9951.3787463886401</v>
      </c>
      <c r="H44" s="4">
        <f t="shared" si="3"/>
        <v>32.290800007750796</v>
      </c>
      <c r="I44" s="18">
        <v>3786.6737999956781</v>
      </c>
    </row>
    <row r="45" spans="1:9" x14ac:dyDescent="0.35">
      <c r="A45" t="s">
        <v>30</v>
      </c>
      <c r="B45" s="8">
        <v>69</v>
      </c>
      <c r="C45">
        <v>0</v>
      </c>
      <c r="D45">
        <v>0</v>
      </c>
      <c r="E45">
        <v>0</v>
      </c>
      <c r="F45">
        <v>100</v>
      </c>
      <c r="G45" s="9">
        <f>(B45*42.186/3.6)</f>
        <v>808.56499999999994</v>
      </c>
      <c r="H45" s="10">
        <f t="shared" si="3"/>
        <v>2.6236777208125122</v>
      </c>
    </row>
    <row r="46" spans="1:9" x14ac:dyDescent="0.35">
      <c r="A46" s="1" t="s">
        <v>11</v>
      </c>
      <c r="B46" s="6">
        <f>SUM(B44:B45)</f>
        <v>924.66455256996051</v>
      </c>
      <c r="G46" s="6">
        <f>SUM(G44:G45)</f>
        <v>10759.943746388641</v>
      </c>
      <c r="H46" s="4">
        <f t="shared" si="3"/>
        <v>34.914477728563313</v>
      </c>
    </row>
    <row r="47" spans="1:9" x14ac:dyDescent="0.35">
      <c r="D47" s="40" t="s">
        <v>45</v>
      </c>
      <c r="H47" s="4"/>
    </row>
    <row r="48" spans="1:9" ht="15.5" x14ac:dyDescent="0.35">
      <c r="A48" s="12"/>
      <c r="B48" s="1"/>
      <c r="D48" s="36" t="s">
        <v>46</v>
      </c>
      <c r="G48" s="6"/>
      <c r="H48" s="4"/>
    </row>
    <row r="49" spans="1:9" ht="15.5" x14ac:dyDescent="0.35">
      <c r="A49" s="12" t="s">
        <v>36</v>
      </c>
      <c r="B49" s="6" t="e">
        <f>(B41+B46)</f>
        <v>#REF!</v>
      </c>
      <c r="D49" s="38">
        <f>(D41/G49)</f>
        <v>0.30957440557831356</v>
      </c>
      <c r="G49" s="6">
        <f>(27913*POWER(1.02,5))</f>
        <v>30818.207459721601</v>
      </c>
      <c r="H49" s="4">
        <f t="shared" si="3"/>
        <v>100.00067317710948</v>
      </c>
    </row>
    <row r="50" spans="1:9" ht="15.5" x14ac:dyDescent="0.35">
      <c r="A50" s="12"/>
      <c r="G50" s="6"/>
      <c r="H50" s="3"/>
    </row>
    <row r="51" spans="1:9" x14ac:dyDescent="0.35">
      <c r="H51" s="3" t="s">
        <v>21</v>
      </c>
    </row>
    <row r="52" spans="1:9" ht="15.5" x14ac:dyDescent="0.35">
      <c r="A52" s="12" t="s">
        <v>37</v>
      </c>
      <c r="B52" s="6" t="e">
        <f>(B15+#REF!+B16+B24+B44+B45)</f>
        <v>#REF!</v>
      </c>
      <c r="G52" s="6">
        <f>(G49*0.4)</f>
        <v>12327.282983888641</v>
      </c>
      <c r="H52">
        <v>40</v>
      </c>
    </row>
    <row r="54" spans="1:9" ht="15.5" x14ac:dyDescent="0.35">
      <c r="A54" s="12" t="s">
        <v>49</v>
      </c>
      <c r="H54" s="4">
        <f>(G30+G31+G32+G33+G34+G35+G36+G45)/G49*100</f>
        <v>65.783940353538313</v>
      </c>
    </row>
    <row r="56" spans="1:9" x14ac:dyDescent="0.35">
      <c r="A56" s="1" t="s">
        <v>50</v>
      </c>
      <c r="I56" s="2" t="s">
        <v>54</v>
      </c>
    </row>
    <row r="57" spans="1:9" x14ac:dyDescent="0.35">
      <c r="A57" t="s">
        <v>51</v>
      </c>
    </row>
    <row r="58" spans="1:9" x14ac:dyDescent="0.35">
      <c r="A58" t="s">
        <v>52</v>
      </c>
      <c r="I58" s="19">
        <f>(I44-'2015 Actual'!I42)*1.75</f>
        <v>2217.8122994089758</v>
      </c>
    </row>
    <row r="59" spans="1:9" x14ac:dyDescent="0.35">
      <c r="A59" t="s">
        <v>53</v>
      </c>
      <c r="I59" s="20">
        <f>(I44-'2015 Actual'!I42)*0.5</f>
        <v>633.66065697399313</v>
      </c>
    </row>
    <row r="60" spans="1:9" x14ac:dyDescent="0.35">
      <c r="A60" t="s">
        <v>11</v>
      </c>
      <c r="I60" s="18">
        <f>SUM(I58:I59)</f>
        <v>2851.4729563829687</v>
      </c>
    </row>
  </sheetData>
  <mergeCells count="4">
    <mergeCell ref="A1:I2"/>
    <mergeCell ref="F30:F31"/>
    <mergeCell ref="I30:I31"/>
    <mergeCell ref="A3:I3"/>
  </mergeCells>
  <pageMargins left="0.25" right="0.25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0"/>
  <sheetViews>
    <sheetView topLeftCell="B55" zoomScaleNormal="100" workbookViewId="0">
      <selection activeCell="D46" sqref="D46:D48"/>
    </sheetView>
  </sheetViews>
  <sheetFormatPr defaultRowHeight="14.5" x14ac:dyDescent="0.35"/>
  <cols>
    <col min="1" max="1" width="36" customWidth="1"/>
    <col min="2" max="2" width="14.7265625" customWidth="1"/>
    <col min="3" max="3" width="15.1796875" customWidth="1"/>
    <col min="4" max="4" width="13.81640625" customWidth="1"/>
    <col min="5" max="5" width="15.54296875" customWidth="1"/>
    <col min="6" max="6" width="23" customWidth="1"/>
    <col min="7" max="7" width="28" customWidth="1"/>
    <col min="8" max="8" width="15.453125" customWidth="1"/>
    <col min="9" max="9" width="22.26953125" customWidth="1"/>
  </cols>
  <sheetData>
    <row r="1" spans="1:9" x14ac:dyDescent="0.35">
      <c r="A1" s="43" t="s">
        <v>60</v>
      </c>
      <c r="B1" s="43"/>
      <c r="C1" s="43"/>
      <c r="D1" s="43"/>
      <c r="E1" s="43"/>
      <c r="F1" s="43"/>
      <c r="G1" s="43"/>
      <c r="H1" s="43"/>
      <c r="I1" s="43"/>
    </row>
    <row r="2" spans="1:9" x14ac:dyDescent="0.35">
      <c r="A2" s="43"/>
      <c r="B2" s="43"/>
      <c r="C2" s="43"/>
      <c r="D2" s="43"/>
      <c r="E2" s="43"/>
      <c r="F2" s="43"/>
      <c r="G2" s="43"/>
      <c r="H2" s="43"/>
      <c r="I2" s="43"/>
    </row>
    <row r="3" spans="1:9" ht="15.5" x14ac:dyDescent="0.35">
      <c r="A3" s="44" t="s">
        <v>42</v>
      </c>
      <c r="B3" s="42"/>
      <c r="C3" s="42"/>
      <c r="D3" s="42"/>
      <c r="E3" s="42"/>
      <c r="F3" s="42"/>
      <c r="G3" s="42"/>
      <c r="H3" s="42"/>
      <c r="I3" s="42"/>
    </row>
    <row r="4" spans="1:9" ht="15.5" x14ac:dyDescent="0.35">
      <c r="A4" s="32"/>
      <c r="B4" s="31"/>
      <c r="C4" s="31"/>
      <c r="D4" s="31"/>
      <c r="E4" s="31"/>
      <c r="F4" s="31"/>
      <c r="G4" s="31"/>
      <c r="H4" s="31"/>
      <c r="I4" s="31"/>
    </row>
    <row r="5" spans="1:9" x14ac:dyDescent="0.35">
      <c r="A5" s="1" t="s">
        <v>26</v>
      </c>
      <c r="B5" s="2" t="s">
        <v>4</v>
      </c>
      <c r="C5" s="2" t="s">
        <v>6</v>
      </c>
      <c r="D5" s="2" t="s">
        <v>8</v>
      </c>
      <c r="E5" s="2" t="s">
        <v>8</v>
      </c>
      <c r="F5" s="2" t="s">
        <v>20</v>
      </c>
      <c r="G5" s="2" t="s">
        <v>22</v>
      </c>
      <c r="H5" s="2" t="s">
        <v>9</v>
      </c>
    </row>
    <row r="6" spans="1:9" x14ac:dyDescent="0.35">
      <c r="A6" s="1"/>
      <c r="B6" s="31" t="s">
        <v>5</v>
      </c>
      <c r="C6" s="31" t="s">
        <v>7</v>
      </c>
      <c r="D6" s="31" t="s">
        <v>10</v>
      </c>
      <c r="E6" s="31" t="s">
        <v>21</v>
      </c>
      <c r="F6" s="31" t="s">
        <v>21</v>
      </c>
      <c r="G6" s="31" t="s">
        <v>23</v>
      </c>
      <c r="H6" s="31" t="s">
        <v>21</v>
      </c>
    </row>
    <row r="7" spans="1:9" ht="15.5" x14ac:dyDescent="0.35">
      <c r="A7" s="12" t="s">
        <v>27</v>
      </c>
      <c r="B7" s="31"/>
      <c r="C7" s="31"/>
      <c r="D7" s="31"/>
      <c r="E7" s="31"/>
    </row>
    <row r="8" spans="1:9" ht="15.5" x14ac:dyDescent="0.35">
      <c r="A8" s="12"/>
      <c r="B8" s="31"/>
      <c r="C8" s="31"/>
      <c r="D8" s="31"/>
      <c r="E8" s="31"/>
    </row>
    <row r="9" spans="1:9" x14ac:dyDescent="0.35">
      <c r="A9" s="1" t="s">
        <v>12</v>
      </c>
      <c r="B9" s="31"/>
      <c r="C9" s="31"/>
      <c r="D9" s="31"/>
      <c r="E9" s="31"/>
    </row>
    <row r="10" spans="1:9" x14ac:dyDescent="0.35">
      <c r="A10" s="15" t="s">
        <v>43</v>
      </c>
      <c r="B10">
        <v>0</v>
      </c>
      <c r="C10">
        <v>0</v>
      </c>
      <c r="D10" s="5">
        <f>(B10*C10)</f>
        <v>0</v>
      </c>
      <c r="E10" s="4">
        <f>(D10/6729*100)</f>
        <v>0</v>
      </c>
      <c r="F10">
        <v>37</v>
      </c>
      <c r="G10" s="5">
        <f>(B10*41.868/3.6)*(F10/100)</f>
        <v>0</v>
      </c>
      <c r="H10" s="4">
        <f>(G10/37567)*100</f>
        <v>0</v>
      </c>
    </row>
    <row r="11" spans="1:9" x14ac:dyDescent="0.35">
      <c r="A11" t="s">
        <v>14</v>
      </c>
      <c r="B11">
        <v>0</v>
      </c>
      <c r="C11">
        <v>4.8860000000000001</v>
      </c>
      <c r="D11" s="5">
        <f t="shared" ref="D11:D17" si="0">(B11*C11)</f>
        <v>0</v>
      </c>
      <c r="E11" s="4">
        <f t="shared" ref="E11:E40" si="1">(D11/6729*100)</f>
        <v>0</v>
      </c>
      <c r="F11">
        <v>37.5</v>
      </c>
      <c r="G11" s="5">
        <f t="shared" ref="G11:G24" si="2">(B11*41.868/3.6)*(F11/100)</f>
        <v>0</v>
      </c>
      <c r="H11" s="4">
        <f t="shared" ref="H11:H48" si="3">(G11/37567)*100</f>
        <v>0</v>
      </c>
    </row>
    <row r="12" spans="1:9" x14ac:dyDescent="0.35">
      <c r="A12" t="s">
        <v>1</v>
      </c>
      <c r="B12" s="5">
        <f>(G12*100/F12)*(3.6/41.868)</f>
        <v>2230.7579641114098</v>
      </c>
      <c r="C12">
        <v>2.3820000000000001</v>
      </c>
      <c r="D12" s="5">
        <f t="shared" si="0"/>
        <v>5313.6654705133788</v>
      </c>
      <c r="E12" s="4">
        <f t="shared" si="1"/>
        <v>78.966643936890762</v>
      </c>
      <c r="F12">
        <v>55</v>
      </c>
      <c r="G12" s="5">
        <f>(G32-G22)</f>
        <v>14269.043317438634</v>
      </c>
      <c r="H12" s="4">
        <f t="shared" si="3"/>
        <v>37.982919363906184</v>
      </c>
    </row>
    <row r="13" spans="1:9" x14ac:dyDescent="0.35">
      <c r="A13" t="s">
        <v>2</v>
      </c>
      <c r="B13">
        <v>58</v>
      </c>
      <c r="C13">
        <v>3.1819999999999999</v>
      </c>
      <c r="D13" s="5">
        <f t="shared" si="0"/>
        <v>184.55599999999998</v>
      </c>
      <c r="E13" s="4">
        <f t="shared" si="1"/>
        <v>2.7426957943230792</v>
      </c>
      <c r="F13">
        <v>30</v>
      </c>
      <c r="G13" s="5">
        <f t="shared" si="2"/>
        <v>202.36199999999999</v>
      </c>
      <c r="H13" s="4">
        <f t="shared" si="3"/>
        <v>0.53866957702238671</v>
      </c>
    </row>
    <row r="14" spans="1:9" x14ac:dyDescent="0.35">
      <c r="A14" t="s">
        <v>3</v>
      </c>
      <c r="B14">
        <v>19</v>
      </c>
      <c r="C14">
        <v>3.069</v>
      </c>
      <c r="D14" s="5">
        <f t="shared" si="0"/>
        <v>58.311</v>
      </c>
      <c r="E14" s="4">
        <f t="shared" si="1"/>
        <v>0.86656263932233613</v>
      </c>
      <c r="F14">
        <v>30</v>
      </c>
      <c r="G14" s="5">
        <f t="shared" si="2"/>
        <v>66.291000000000011</v>
      </c>
      <c r="H14" s="4">
        <f t="shared" si="3"/>
        <v>0.17646072350733358</v>
      </c>
    </row>
    <row r="15" spans="1:9" x14ac:dyDescent="0.35">
      <c r="A15" t="s">
        <v>18</v>
      </c>
      <c r="B15" s="5">
        <v>247</v>
      </c>
      <c r="C15">
        <v>0</v>
      </c>
      <c r="D15" s="5">
        <f t="shared" si="0"/>
        <v>0</v>
      </c>
      <c r="E15" s="4">
        <f t="shared" si="1"/>
        <v>0</v>
      </c>
      <c r="F15">
        <v>37.5</v>
      </c>
      <c r="G15" s="5">
        <f t="shared" si="2"/>
        <v>1077.22875</v>
      </c>
      <c r="H15" s="4">
        <f t="shared" si="3"/>
        <v>2.8674867569941704</v>
      </c>
    </row>
    <row r="16" spans="1:9" x14ac:dyDescent="0.35">
      <c r="A16" t="s">
        <v>17</v>
      </c>
      <c r="B16">
        <v>40</v>
      </c>
      <c r="C16">
        <v>0</v>
      </c>
      <c r="D16" s="5">
        <f t="shared" si="0"/>
        <v>0</v>
      </c>
      <c r="E16" s="4">
        <f t="shared" si="1"/>
        <v>0</v>
      </c>
      <c r="F16">
        <v>40</v>
      </c>
      <c r="G16" s="5">
        <f t="shared" si="2"/>
        <v>186.08</v>
      </c>
      <c r="H16" s="4">
        <f t="shared" si="3"/>
        <v>0.49532834668725217</v>
      </c>
    </row>
    <row r="17" spans="1:9" x14ac:dyDescent="0.35">
      <c r="A17" t="s">
        <v>16</v>
      </c>
      <c r="B17" s="9">
        <f>(G17*100/F17)*(3.6/41.868)</f>
        <v>111.0920034393809</v>
      </c>
      <c r="C17">
        <v>4</v>
      </c>
      <c r="D17" s="9">
        <f t="shared" si="0"/>
        <v>444.36801375752361</v>
      </c>
      <c r="E17" s="4">
        <f t="shared" si="1"/>
        <v>6.6037749109455133</v>
      </c>
      <c r="F17">
        <v>25</v>
      </c>
      <c r="G17" s="9">
        <f>(73+250)</f>
        <v>323</v>
      </c>
      <c r="H17" s="10">
        <f t="shared" si="3"/>
        <v>0.85979716240317305</v>
      </c>
    </row>
    <row r="18" spans="1:9" x14ac:dyDescent="0.35">
      <c r="A18" s="1" t="s">
        <v>11</v>
      </c>
      <c r="B18" s="5">
        <f>SUM(B10:B17)</f>
        <v>2705.8499675507906</v>
      </c>
      <c r="D18" s="5">
        <f>SUM(D10:D17)</f>
        <v>6000.9004842709019</v>
      </c>
      <c r="E18" s="4">
        <f t="shared" si="1"/>
        <v>89.179677281481673</v>
      </c>
      <c r="G18" s="5">
        <f>SUM(G10:G17)</f>
        <v>16124.005067438633</v>
      </c>
      <c r="H18" s="4">
        <f t="shared" si="3"/>
        <v>42.920661930520495</v>
      </c>
    </row>
    <row r="19" spans="1:9" x14ac:dyDescent="0.35">
      <c r="E19" s="4"/>
      <c r="G19" s="5"/>
      <c r="H19" s="4"/>
    </row>
    <row r="20" spans="1:9" x14ac:dyDescent="0.35">
      <c r="A20" s="1" t="s">
        <v>13</v>
      </c>
      <c r="E20" s="4"/>
      <c r="G20" s="5"/>
      <c r="H20" s="4"/>
    </row>
    <row r="21" spans="1:9" x14ac:dyDescent="0.35">
      <c r="A21" t="s">
        <v>14</v>
      </c>
      <c r="B21">
        <v>8</v>
      </c>
      <c r="C21">
        <v>4.8860000000000001</v>
      </c>
      <c r="D21" s="5">
        <f>(B21*C21)</f>
        <v>39.088000000000001</v>
      </c>
      <c r="E21" s="4">
        <f t="shared" si="1"/>
        <v>0.58088869074156635</v>
      </c>
      <c r="F21">
        <v>50</v>
      </c>
      <c r="G21" s="5">
        <f t="shared" si="2"/>
        <v>46.52</v>
      </c>
      <c r="H21" s="4">
        <f t="shared" si="3"/>
        <v>0.12383208667181304</v>
      </c>
    </row>
    <row r="22" spans="1:9" x14ac:dyDescent="0.35">
      <c r="A22" t="s">
        <v>1</v>
      </c>
      <c r="B22">
        <v>278</v>
      </c>
      <c r="C22">
        <v>2.3820000000000001</v>
      </c>
      <c r="D22" s="5">
        <f t="shared" ref="D22:D24" si="4">(B22*C22)</f>
        <v>662.19600000000003</v>
      </c>
      <c r="E22" s="4">
        <f t="shared" si="1"/>
        <v>9.8409273294694604</v>
      </c>
      <c r="F22">
        <v>60</v>
      </c>
      <c r="G22" s="5">
        <f t="shared" si="2"/>
        <v>1939.8839999999998</v>
      </c>
      <c r="H22" s="4">
        <f t="shared" si="3"/>
        <v>5.1637980142146027</v>
      </c>
    </row>
    <row r="23" spans="1:9" x14ac:dyDescent="0.35">
      <c r="A23" t="s">
        <v>15</v>
      </c>
      <c r="B23">
        <v>10</v>
      </c>
      <c r="C23">
        <v>2.6669999999999998</v>
      </c>
      <c r="D23" s="5">
        <f t="shared" si="4"/>
        <v>26.669999999999998</v>
      </c>
      <c r="E23" s="4">
        <f t="shared" si="1"/>
        <v>0.39634418189924203</v>
      </c>
      <c r="F23">
        <v>50</v>
      </c>
      <c r="G23" s="5">
        <f t="shared" si="2"/>
        <v>58.15</v>
      </c>
      <c r="H23" s="4">
        <f t="shared" si="3"/>
        <v>0.15479010833976628</v>
      </c>
    </row>
    <row r="24" spans="1:9" x14ac:dyDescent="0.35">
      <c r="A24" t="s">
        <v>19</v>
      </c>
      <c r="B24" s="8">
        <v>5</v>
      </c>
      <c r="C24">
        <v>0</v>
      </c>
      <c r="D24" s="9">
        <f t="shared" si="4"/>
        <v>0</v>
      </c>
      <c r="E24" s="4">
        <f t="shared" si="1"/>
        <v>0</v>
      </c>
      <c r="F24">
        <v>45</v>
      </c>
      <c r="G24" s="9">
        <f t="shared" si="2"/>
        <v>26.1675</v>
      </c>
      <c r="H24" s="10">
        <f t="shared" si="3"/>
        <v>6.9655548752894828E-2</v>
      </c>
    </row>
    <row r="25" spans="1:9" x14ac:dyDescent="0.35">
      <c r="A25" s="1" t="s">
        <v>11</v>
      </c>
      <c r="B25">
        <f>SUM(B21:B24)</f>
        <v>301</v>
      </c>
      <c r="D25" s="5">
        <f>SUM(D21:D24)</f>
        <v>727.95399999999995</v>
      </c>
      <c r="E25" s="4">
        <f t="shared" si="1"/>
        <v>10.818160202110267</v>
      </c>
      <c r="G25" s="5">
        <f>SUM(G21:G24)</f>
        <v>2070.7214999999997</v>
      </c>
      <c r="H25" s="4">
        <f t="shared" si="3"/>
        <v>5.5120757579790762</v>
      </c>
    </row>
    <row r="26" spans="1:9" x14ac:dyDescent="0.35">
      <c r="E26" s="4"/>
      <c r="G26" s="5"/>
      <c r="H26" s="4"/>
    </row>
    <row r="27" spans="1:9" x14ac:dyDescent="0.35">
      <c r="A27" s="1" t="s">
        <v>28</v>
      </c>
      <c r="B27" s="6">
        <f>(B18+B25)</f>
        <v>3006.8499675507906</v>
      </c>
      <c r="C27" s="1"/>
      <c r="D27" s="6">
        <f>(D18+D25)</f>
        <v>6728.8544842709016</v>
      </c>
      <c r="E27" s="4">
        <f t="shared" si="1"/>
        <v>99.997837483591951</v>
      </c>
      <c r="G27" s="5">
        <f>(G18+G25)</f>
        <v>18194.726567438633</v>
      </c>
      <c r="H27" s="4"/>
    </row>
    <row r="28" spans="1:9" x14ac:dyDescent="0.35">
      <c r="E28" s="4"/>
      <c r="H28" s="4"/>
    </row>
    <row r="29" spans="1:9" x14ac:dyDescent="0.35">
      <c r="A29" s="1" t="s">
        <v>64</v>
      </c>
      <c r="E29" s="4"/>
      <c r="F29" s="2" t="s">
        <v>24</v>
      </c>
      <c r="H29" s="4"/>
      <c r="I29" s="2" t="s">
        <v>24</v>
      </c>
    </row>
    <row r="30" spans="1:9" x14ac:dyDescent="0.35">
      <c r="A30" t="s">
        <v>43</v>
      </c>
      <c r="B30">
        <f>(B10)</f>
        <v>0</v>
      </c>
      <c r="C30">
        <v>0</v>
      </c>
      <c r="D30" s="5">
        <f>(B30*C30)</f>
        <v>0</v>
      </c>
      <c r="E30" s="4">
        <f t="shared" si="1"/>
        <v>0</v>
      </c>
      <c r="F30" s="41">
        <f>(E30+E31)</f>
        <v>0.58088869074156635</v>
      </c>
      <c r="G30" s="5">
        <f>(G10)</f>
        <v>0</v>
      </c>
      <c r="H30" s="4">
        <f t="shared" si="3"/>
        <v>0</v>
      </c>
      <c r="I30" s="41">
        <f>(H31)</f>
        <v>0.12383208667181304</v>
      </c>
    </row>
    <row r="31" spans="1:9" x14ac:dyDescent="0.35">
      <c r="A31" t="s">
        <v>14</v>
      </c>
      <c r="B31">
        <f>(B11+B21)</f>
        <v>8</v>
      </c>
      <c r="C31">
        <v>4.8860000000000001</v>
      </c>
      <c r="D31" s="5">
        <f t="shared" ref="D31:D39" si="5">(B31*C31)</f>
        <v>39.088000000000001</v>
      </c>
      <c r="E31" s="4">
        <f t="shared" si="1"/>
        <v>0.58088869074156635</v>
      </c>
      <c r="F31" s="42"/>
      <c r="G31" s="5">
        <f>(G11+G21)</f>
        <v>46.52</v>
      </c>
      <c r="H31" s="4">
        <f t="shared" si="3"/>
        <v>0.12383208667181304</v>
      </c>
      <c r="I31" s="42"/>
    </row>
    <row r="32" spans="1:9" x14ac:dyDescent="0.35">
      <c r="A32" t="s">
        <v>1</v>
      </c>
      <c r="B32" s="5">
        <f>(B12+B22)</f>
        <v>2508.7579641114098</v>
      </c>
      <c r="C32">
        <v>2.3820000000000001</v>
      </c>
      <c r="D32" s="5">
        <f t="shared" si="5"/>
        <v>5975.8614705133787</v>
      </c>
      <c r="E32" s="4">
        <f t="shared" si="1"/>
        <v>88.807571266360213</v>
      </c>
      <c r="G32" s="5">
        <f>(G48-G51-G39-G36-G34-G33-G31-G30)</f>
        <v>16208.927317438634</v>
      </c>
      <c r="H32" s="4">
        <f t="shared" si="3"/>
        <v>43.146717378120783</v>
      </c>
    </row>
    <row r="33" spans="1:9" x14ac:dyDescent="0.35">
      <c r="A33" t="s">
        <v>2</v>
      </c>
      <c r="B33">
        <f>(B13)</f>
        <v>58</v>
      </c>
      <c r="C33">
        <v>3.1819999999999999</v>
      </c>
      <c r="D33" s="5">
        <f t="shared" si="5"/>
        <v>184.55599999999998</v>
      </c>
      <c r="E33" s="4">
        <f t="shared" si="1"/>
        <v>2.7426957943230792</v>
      </c>
      <c r="G33" s="5">
        <f>(G13)</f>
        <v>202.36199999999999</v>
      </c>
      <c r="H33" s="4">
        <f t="shared" si="3"/>
        <v>0.53866957702238671</v>
      </c>
    </row>
    <row r="34" spans="1:9" x14ac:dyDescent="0.35">
      <c r="A34" t="s">
        <v>3</v>
      </c>
      <c r="B34">
        <f>(B14)</f>
        <v>19</v>
      </c>
      <c r="C34">
        <v>3.069</v>
      </c>
      <c r="D34" s="5">
        <f t="shared" si="5"/>
        <v>58.311</v>
      </c>
      <c r="E34" s="4">
        <f t="shared" si="1"/>
        <v>0.86656263932233613</v>
      </c>
      <c r="G34" s="5">
        <f>(G14)</f>
        <v>66.291000000000011</v>
      </c>
      <c r="H34" s="4">
        <f t="shared" si="3"/>
        <v>0.17646072350733358</v>
      </c>
    </row>
    <row r="35" spans="1:9" x14ac:dyDescent="0.35">
      <c r="A35" t="s">
        <v>18</v>
      </c>
      <c r="B35">
        <f>(B15)</f>
        <v>247</v>
      </c>
      <c r="C35">
        <v>0</v>
      </c>
      <c r="D35" s="5">
        <f t="shared" si="5"/>
        <v>0</v>
      </c>
      <c r="E35" s="4">
        <f t="shared" si="1"/>
        <v>0</v>
      </c>
      <c r="G35" s="5">
        <f>(G15)</f>
        <v>1077.22875</v>
      </c>
      <c r="H35" s="4">
        <f t="shared" si="3"/>
        <v>2.8674867569941704</v>
      </c>
    </row>
    <row r="36" spans="1:9" x14ac:dyDescent="0.35">
      <c r="A36" t="s">
        <v>15</v>
      </c>
      <c r="B36">
        <f>(B23)</f>
        <v>10</v>
      </c>
      <c r="C36">
        <v>2.6669999999999998</v>
      </c>
      <c r="D36" s="5">
        <f t="shared" si="5"/>
        <v>26.669999999999998</v>
      </c>
      <c r="E36" s="4">
        <f t="shared" si="1"/>
        <v>0.39634418189924203</v>
      </c>
      <c r="G36" s="5">
        <f>(G23)</f>
        <v>58.15</v>
      </c>
      <c r="H36" s="4">
        <f t="shared" si="3"/>
        <v>0.15479010833976628</v>
      </c>
    </row>
    <row r="37" spans="1:9" x14ac:dyDescent="0.35">
      <c r="A37" t="s">
        <v>19</v>
      </c>
      <c r="B37">
        <f>(B24)</f>
        <v>5</v>
      </c>
      <c r="C37">
        <v>0</v>
      </c>
      <c r="D37" s="5">
        <f t="shared" si="5"/>
        <v>0</v>
      </c>
      <c r="E37" s="4">
        <f t="shared" si="1"/>
        <v>0</v>
      </c>
      <c r="G37" s="5">
        <f>(G24)</f>
        <v>26.1675</v>
      </c>
      <c r="H37" s="4">
        <f t="shared" si="3"/>
        <v>6.9655548752894828E-2</v>
      </c>
    </row>
    <row r="38" spans="1:9" x14ac:dyDescent="0.35">
      <c r="A38" t="s">
        <v>17</v>
      </c>
      <c r="B38">
        <f>(B16)</f>
        <v>40</v>
      </c>
      <c r="C38">
        <v>0</v>
      </c>
      <c r="D38" s="5">
        <f t="shared" si="5"/>
        <v>0</v>
      </c>
      <c r="E38" s="4">
        <f t="shared" si="1"/>
        <v>0</v>
      </c>
      <c r="G38" s="5">
        <f>(G16)</f>
        <v>186.08</v>
      </c>
      <c r="H38" s="4">
        <f t="shared" si="3"/>
        <v>0.49532834668725217</v>
      </c>
    </row>
    <row r="39" spans="1:9" x14ac:dyDescent="0.35">
      <c r="A39" t="s">
        <v>16</v>
      </c>
      <c r="B39" s="5">
        <f>(B17)</f>
        <v>111.0920034393809</v>
      </c>
      <c r="C39">
        <v>4</v>
      </c>
      <c r="D39" s="5">
        <f t="shared" si="5"/>
        <v>444.36801375752361</v>
      </c>
      <c r="E39" s="4">
        <f t="shared" si="1"/>
        <v>6.6037749109455133</v>
      </c>
      <c r="G39" s="5">
        <f>(G17)</f>
        <v>323</v>
      </c>
      <c r="H39" s="10">
        <f t="shared" si="3"/>
        <v>0.85979716240317305</v>
      </c>
    </row>
    <row r="40" spans="1:9" x14ac:dyDescent="0.35">
      <c r="A40" s="1" t="s">
        <v>34</v>
      </c>
      <c r="B40" s="6">
        <f>SUM(B30:B39)</f>
        <v>3006.8499675507906</v>
      </c>
      <c r="C40" s="1"/>
      <c r="D40" s="6">
        <f>SUM(D30:D39)</f>
        <v>6728.8544842709016</v>
      </c>
      <c r="E40" s="4">
        <f t="shared" si="1"/>
        <v>99.997837483591951</v>
      </c>
      <c r="G40" s="5">
        <f>SUM(G30:G39)</f>
        <v>18194.726567438636</v>
      </c>
      <c r="H40" s="4">
        <f t="shared" si="3"/>
        <v>48.432737688499579</v>
      </c>
    </row>
    <row r="41" spans="1:9" x14ac:dyDescent="0.35">
      <c r="H41" s="4"/>
    </row>
    <row r="42" spans="1:9" ht="15.5" x14ac:dyDescent="0.35">
      <c r="A42" s="12" t="s">
        <v>29</v>
      </c>
      <c r="H42" s="4"/>
      <c r="I42" s="2" t="s">
        <v>39</v>
      </c>
    </row>
    <row r="43" spans="1:9" x14ac:dyDescent="0.35">
      <c r="A43" t="s">
        <v>44</v>
      </c>
      <c r="B43" s="5">
        <f>(G43*3.6/41.868)</f>
        <v>1600.7107790372129</v>
      </c>
      <c r="C43">
        <v>0</v>
      </c>
      <c r="D43">
        <v>0</v>
      </c>
      <c r="E43">
        <v>0</v>
      </c>
      <c r="F43">
        <v>100</v>
      </c>
      <c r="G43" s="5">
        <f>(G51-G44-G30-G35--G37-G38)</f>
        <v>18616.266360202786</v>
      </c>
      <c r="H43" s="4">
        <f t="shared" si="3"/>
        <v>49.554838981560373</v>
      </c>
      <c r="I43" s="18">
        <f>(G43/8.76)/0.3</f>
        <v>7083.8152055566161</v>
      </c>
    </row>
    <row r="44" spans="1:9" x14ac:dyDescent="0.35">
      <c r="A44" t="s">
        <v>30</v>
      </c>
      <c r="B44" s="8">
        <v>69</v>
      </c>
      <c r="C44">
        <v>0</v>
      </c>
      <c r="D44">
        <v>0</v>
      </c>
      <c r="E44">
        <v>0</v>
      </c>
      <c r="F44">
        <v>100</v>
      </c>
      <c r="G44" s="9">
        <f>(B44*42.186/3.6)</f>
        <v>808.56499999999994</v>
      </c>
      <c r="H44" s="10">
        <f t="shared" si="3"/>
        <v>2.1523278409242153</v>
      </c>
    </row>
    <row r="45" spans="1:9" x14ac:dyDescent="0.35">
      <c r="A45" s="1" t="s">
        <v>11</v>
      </c>
      <c r="B45" s="6">
        <f>SUM(B43:B44)</f>
        <v>1669.7107790372129</v>
      </c>
      <c r="G45" s="6">
        <f>SUM(G43:G44)</f>
        <v>19424.831360202785</v>
      </c>
      <c r="H45" s="4">
        <f t="shared" si="3"/>
        <v>51.707166822484588</v>
      </c>
    </row>
    <row r="46" spans="1:9" x14ac:dyDescent="0.35">
      <c r="D46" s="37" t="s">
        <v>47</v>
      </c>
      <c r="H46" s="4"/>
    </row>
    <row r="47" spans="1:9" ht="15.5" x14ac:dyDescent="0.35">
      <c r="A47" s="12"/>
      <c r="B47" s="1"/>
      <c r="D47" s="36" t="s">
        <v>46</v>
      </c>
      <c r="G47" s="6"/>
      <c r="H47" s="4"/>
    </row>
    <row r="48" spans="1:9" ht="15.5" x14ac:dyDescent="0.35">
      <c r="A48" s="12" t="s">
        <v>58</v>
      </c>
      <c r="B48" s="6">
        <f>(B40+B45)</f>
        <v>4676.5607465880039</v>
      </c>
      <c r="D48" s="38">
        <f>(D40/G48)</f>
        <v>0.17911503592457209</v>
      </c>
      <c r="G48" s="6">
        <f>(27913*POWER(1.02,15))</f>
        <v>37567.222927641422</v>
      </c>
      <c r="H48" s="4">
        <f t="shared" si="3"/>
        <v>100.00059341347838</v>
      </c>
    </row>
    <row r="49" spans="1:9" ht="15.5" x14ac:dyDescent="0.35">
      <c r="A49" s="12"/>
      <c r="G49" s="6"/>
      <c r="H49" s="31"/>
    </row>
    <row r="50" spans="1:9" x14ac:dyDescent="0.35">
      <c r="H50" s="31" t="s">
        <v>21</v>
      </c>
    </row>
    <row r="51" spans="1:9" ht="15.5" x14ac:dyDescent="0.35">
      <c r="A51" s="12" t="s">
        <v>59</v>
      </c>
      <c r="B51" s="6">
        <f>(B10+B15+B16+B24+B43+B44)</f>
        <v>1961.7107790372129</v>
      </c>
      <c r="G51" s="6">
        <f>(G48*0.55)</f>
        <v>20661.972610202785</v>
      </c>
      <c r="H51" s="31">
        <v>55</v>
      </c>
    </row>
    <row r="52" spans="1:9" x14ac:dyDescent="0.35">
      <c r="H52" s="31"/>
    </row>
    <row r="53" spans="1:9" x14ac:dyDescent="0.35">
      <c r="A53" s="1" t="s">
        <v>49</v>
      </c>
      <c r="H53" s="30">
        <f>(G32+G33+G34+G35+G44)/G48*100</f>
        <v>48.881372207917785</v>
      </c>
    </row>
    <row r="55" spans="1:9" x14ac:dyDescent="0.35">
      <c r="A55" s="1" t="s">
        <v>50</v>
      </c>
      <c r="I55" s="2" t="s">
        <v>54</v>
      </c>
    </row>
    <row r="56" spans="1:9" x14ac:dyDescent="0.35">
      <c r="A56" t="s">
        <v>51</v>
      </c>
    </row>
    <row r="57" spans="1:9" x14ac:dyDescent="0.35">
      <c r="A57" t="s">
        <v>52</v>
      </c>
      <c r="I57" s="19">
        <f>(I43-'2015 Actual'!I42)*1.75</f>
        <v>7987.8097591406176</v>
      </c>
    </row>
    <row r="58" spans="1:9" x14ac:dyDescent="0.35">
      <c r="A58" t="s">
        <v>62</v>
      </c>
      <c r="I58" s="19">
        <f>(I43-'2015 Actual'!I42)*0.5</f>
        <v>2282.2313597544621</v>
      </c>
    </row>
    <row r="59" spans="1:9" x14ac:dyDescent="0.35">
      <c r="A59" t="s">
        <v>57</v>
      </c>
      <c r="I59" s="20">
        <v>500</v>
      </c>
    </row>
    <row r="60" spans="1:9" x14ac:dyDescent="0.35">
      <c r="A60" t="s">
        <v>11</v>
      </c>
      <c r="I60" s="18">
        <f>SUM(I57:I59)</f>
        <v>10770.04111889508</v>
      </c>
    </row>
  </sheetData>
  <mergeCells count="4">
    <mergeCell ref="A1:I2"/>
    <mergeCell ref="A3:I3"/>
    <mergeCell ref="F30:F31"/>
    <mergeCell ref="I30:I31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4"/>
  <sheetViews>
    <sheetView topLeftCell="A52" zoomScale="80" zoomScaleNormal="80" workbookViewId="0">
      <selection activeCell="F62" sqref="F61:F62"/>
    </sheetView>
  </sheetViews>
  <sheetFormatPr defaultRowHeight="14.5" x14ac:dyDescent="0.35"/>
  <cols>
    <col min="1" max="1" width="33.453125" customWidth="1"/>
    <col min="2" max="2" width="20" customWidth="1"/>
    <col min="3" max="3" width="17.1796875" customWidth="1"/>
    <col min="4" max="4" width="15.26953125" customWidth="1"/>
    <col min="5" max="5" width="16.81640625" customWidth="1"/>
    <col min="6" max="6" width="23.26953125" customWidth="1"/>
    <col min="7" max="7" width="24.81640625" customWidth="1"/>
    <col min="8" max="8" width="16.453125" customWidth="1"/>
    <col min="9" max="9" width="17.54296875" customWidth="1"/>
    <col min="10" max="10" width="18.453125" customWidth="1"/>
  </cols>
  <sheetData>
    <row r="1" spans="1:9" x14ac:dyDescent="0.35">
      <c r="A1" s="43" t="s">
        <v>48</v>
      </c>
      <c r="B1" s="43"/>
      <c r="C1" s="43"/>
      <c r="D1" s="43"/>
      <c r="E1" s="43"/>
      <c r="F1" s="43"/>
      <c r="G1" s="43"/>
      <c r="H1" s="43"/>
      <c r="I1" s="43"/>
    </row>
    <row r="2" spans="1:9" x14ac:dyDescent="0.35">
      <c r="A2" s="43"/>
      <c r="B2" s="43"/>
      <c r="C2" s="43"/>
      <c r="D2" s="43"/>
      <c r="E2" s="43"/>
      <c r="F2" s="43"/>
      <c r="G2" s="43"/>
      <c r="H2" s="43"/>
      <c r="I2" s="43"/>
    </row>
    <row r="3" spans="1:9" ht="15.5" x14ac:dyDescent="0.35">
      <c r="A3" s="44" t="s">
        <v>42</v>
      </c>
      <c r="B3" s="42"/>
      <c r="C3" s="42"/>
      <c r="D3" s="42"/>
      <c r="E3" s="42"/>
      <c r="F3" s="42"/>
      <c r="G3" s="42"/>
      <c r="H3" s="42"/>
      <c r="I3" s="42"/>
    </row>
    <row r="4" spans="1:9" ht="15.5" x14ac:dyDescent="0.35">
      <c r="A4" s="14"/>
      <c r="B4" s="11"/>
      <c r="C4" s="11"/>
      <c r="D4" s="11"/>
      <c r="E4" s="11"/>
      <c r="F4" s="11"/>
      <c r="G4" s="11"/>
      <c r="H4" s="11"/>
      <c r="I4" s="11"/>
    </row>
    <row r="5" spans="1:9" x14ac:dyDescent="0.35">
      <c r="A5" s="1" t="s">
        <v>26</v>
      </c>
      <c r="B5" s="2" t="s">
        <v>4</v>
      </c>
      <c r="C5" s="2" t="s">
        <v>6</v>
      </c>
      <c r="D5" s="2" t="s">
        <v>8</v>
      </c>
      <c r="E5" s="2" t="s">
        <v>8</v>
      </c>
      <c r="F5" s="2" t="s">
        <v>20</v>
      </c>
      <c r="G5" s="2" t="s">
        <v>22</v>
      </c>
      <c r="H5" s="2" t="s">
        <v>9</v>
      </c>
    </row>
    <row r="6" spans="1:9" x14ac:dyDescent="0.35">
      <c r="A6" s="1"/>
      <c r="B6" s="11" t="s">
        <v>5</v>
      </c>
      <c r="C6" s="11" t="s">
        <v>7</v>
      </c>
      <c r="D6" s="11" t="s">
        <v>10</v>
      </c>
      <c r="E6" s="11" t="s">
        <v>21</v>
      </c>
      <c r="F6" s="11" t="s">
        <v>21</v>
      </c>
      <c r="G6" s="11" t="s">
        <v>23</v>
      </c>
      <c r="H6" s="11" t="s">
        <v>21</v>
      </c>
    </row>
    <row r="7" spans="1:9" ht="15.5" x14ac:dyDescent="0.35">
      <c r="A7" s="12" t="s">
        <v>27</v>
      </c>
      <c r="B7" s="11"/>
      <c r="C7" s="11"/>
      <c r="D7" s="11"/>
      <c r="E7" s="11"/>
    </row>
    <row r="8" spans="1:9" ht="15.5" x14ac:dyDescent="0.35">
      <c r="A8" s="12"/>
      <c r="B8" s="11"/>
      <c r="C8" s="11"/>
      <c r="D8" s="11"/>
      <c r="E8" s="11"/>
    </row>
    <row r="9" spans="1:9" x14ac:dyDescent="0.35">
      <c r="A9" s="1" t="s">
        <v>12</v>
      </c>
      <c r="B9" s="11"/>
      <c r="C9" s="11"/>
      <c r="D9" s="11"/>
      <c r="E9" s="11"/>
    </row>
    <row r="10" spans="1:9" x14ac:dyDescent="0.35">
      <c r="A10" s="15" t="s">
        <v>43</v>
      </c>
      <c r="B10">
        <f>(1127*0.5)</f>
        <v>563.5</v>
      </c>
      <c r="C10">
        <v>0</v>
      </c>
      <c r="D10" s="5">
        <f>(B10*C10)</f>
        <v>0</v>
      </c>
      <c r="E10" s="4">
        <f>(D10/6729*100)</f>
        <v>0</v>
      </c>
      <c r="F10">
        <v>37</v>
      </c>
      <c r="G10" s="5">
        <f>(B10*41.868/3.6)*(F10/100)</f>
        <v>2424.7968500000002</v>
      </c>
      <c r="H10" s="4">
        <f>(G10/37567)*100</f>
        <v>6.4545927276599153</v>
      </c>
    </row>
    <row r="11" spans="1:9" x14ac:dyDescent="0.35">
      <c r="A11" t="s">
        <v>14</v>
      </c>
      <c r="B11">
        <v>0</v>
      </c>
      <c r="C11">
        <v>4.8860000000000001</v>
      </c>
      <c r="D11" s="5">
        <f t="shared" ref="D11:D17" si="0">(B11*C11)</f>
        <v>0</v>
      </c>
      <c r="E11" s="4">
        <f t="shared" ref="E11:E40" si="1">(D11/6729*100)</f>
        <v>0</v>
      </c>
      <c r="F11">
        <v>37.5</v>
      </c>
      <c r="G11" s="5">
        <f t="shared" ref="G11:G24" si="2">(B11*41.868/3.6)*(F11/100)</f>
        <v>0</v>
      </c>
      <c r="H11" s="4">
        <f t="shared" ref="H11:H48" si="3">(G11/37567)*100</f>
        <v>0</v>
      </c>
    </row>
    <row r="12" spans="1:9" x14ac:dyDescent="0.35">
      <c r="A12" t="s">
        <v>1</v>
      </c>
      <c r="B12" s="5">
        <f>(G12*100/F12)*(3.6/41.868)</f>
        <v>2230.7579641114098</v>
      </c>
      <c r="C12">
        <v>2.3820000000000001</v>
      </c>
      <c r="D12" s="5">
        <f t="shared" si="0"/>
        <v>5313.6654705133788</v>
      </c>
      <c r="E12" s="4">
        <f t="shared" si="1"/>
        <v>78.966643936890762</v>
      </c>
      <c r="F12">
        <v>55</v>
      </c>
      <c r="G12" s="5">
        <f>(G32-G22)</f>
        <v>14269.043317438634</v>
      </c>
      <c r="H12" s="4">
        <f t="shared" si="3"/>
        <v>37.982919363906184</v>
      </c>
    </row>
    <row r="13" spans="1:9" x14ac:dyDescent="0.35">
      <c r="A13" t="s">
        <v>2</v>
      </c>
      <c r="B13">
        <v>58</v>
      </c>
      <c r="C13">
        <v>3.1819999999999999</v>
      </c>
      <c r="D13" s="5">
        <f t="shared" si="0"/>
        <v>184.55599999999998</v>
      </c>
      <c r="E13" s="4">
        <f t="shared" si="1"/>
        <v>2.7426957943230792</v>
      </c>
      <c r="F13">
        <v>30</v>
      </c>
      <c r="G13" s="5">
        <f t="shared" si="2"/>
        <v>202.36199999999999</v>
      </c>
      <c r="H13" s="4">
        <f t="shared" si="3"/>
        <v>0.53866957702238671</v>
      </c>
    </row>
    <row r="14" spans="1:9" x14ac:dyDescent="0.35">
      <c r="A14" t="s">
        <v>3</v>
      </c>
      <c r="B14">
        <v>19</v>
      </c>
      <c r="C14">
        <v>3.069</v>
      </c>
      <c r="D14" s="5">
        <f t="shared" si="0"/>
        <v>58.311</v>
      </c>
      <c r="E14" s="4">
        <f t="shared" si="1"/>
        <v>0.86656263932233613</v>
      </c>
      <c r="F14">
        <v>30</v>
      </c>
      <c r="G14" s="5">
        <f t="shared" si="2"/>
        <v>66.291000000000011</v>
      </c>
      <c r="H14" s="4">
        <f t="shared" si="3"/>
        <v>0.17646072350733358</v>
      </c>
    </row>
    <row r="15" spans="1:9" x14ac:dyDescent="0.35">
      <c r="A15" t="s">
        <v>18</v>
      </c>
      <c r="B15" s="5">
        <f>(66+547)</f>
        <v>613</v>
      </c>
      <c r="C15">
        <v>0</v>
      </c>
      <c r="D15" s="5">
        <f t="shared" si="0"/>
        <v>0</v>
      </c>
      <c r="E15" s="4">
        <f t="shared" si="1"/>
        <v>0</v>
      </c>
      <c r="F15">
        <v>37.5</v>
      </c>
      <c r="G15" s="5">
        <f t="shared" si="2"/>
        <v>2673.44625</v>
      </c>
      <c r="H15" s="4">
        <f t="shared" si="3"/>
        <v>7.1164752309207548</v>
      </c>
    </row>
    <row r="16" spans="1:9" x14ac:dyDescent="0.35">
      <c r="A16" t="s">
        <v>17</v>
      </c>
      <c r="B16">
        <v>40</v>
      </c>
      <c r="C16">
        <v>0</v>
      </c>
      <c r="D16" s="5">
        <f t="shared" si="0"/>
        <v>0</v>
      </c>
      <c r="E16" s="4">
        <f t="shared" si="1"/>
        <v>0</v>
      </c>
      <c r="F16">
        <v>40</v>
      </c>
      <c r="G16" s="5">
        <f t="shared" si="2"/>
        <v>186.08</v>
      </c>
      <c r="H16" s="4">
        <f t="shared" si="3"/>
        <v>0.49532834668725217</v>
      </c>
    </row>
    <row r="17" spans="1:9" x14ac:dyDescent="0.35">
      <c r="A17" t="s">
        <v>16</v>
      </c>
      <c r="B17" s="9">
        <f>(G17*100/F17)*(3.6/41.868)</f>
        <v>111.0920034393809</v>
      </c>
      <c r="C17">
        <v>4</v>
      </c>
      <c r="D17" s="9">
        <f t="shared" si="0"/>
        <v>444.36801375752361</v>
      </c>
      <c r="E17" s="4">
        <f t="shared" si="1"/>
        <v>6.6037749109455133</v>
      </c>
      <c r="F17">
        <v>25</v>
      </c>
      <c r="G17" s="9">
        <f>(73+250)</f>
        <v>323</v>
      </c>
      <c r="H17" s="10">
        <f t="shared" si="3"/>
        <v>0.85979716240317305</v>
      </c>
    </row>
    <row r="18" spans="1:9" x14ac:dyDescent="0.35">
      <c r="A18" s="1" t="s">
        <v>11</v>
      </c>
      <c r="B18" s="5">
        <f>SUM(B10:B17)</f>
        <v>3635.3499675507906</v>
      </c>
      <c r="D18" s="5">
        <f>SUM(D10:D17)</f>
        <v>6000.9004842709019</v>
      </c>
      <c r="E18" s="4">
        <f t="shared" si="1"/>
        <v>89.179677281481673</v>
      </c>
      <c r="G18" s="5">
        <f>SUM(G10:G17)</f>
        <v>20145.019417438638</v>
      </c>
      <c r="H18" s="4">
        <f t="shared" si="3"/>
        <v>53.624243132107011</v>
      </c>
    </row>
    <row r="19" spans="1:9" x14ac:dyDescent="0.35">
      <c r="E19" s="4"/>
      <c r="G19" s="5"/>
      <c r="H19" s="4"/>
    </row>
    <row r="20" spans="1:9" x14ac:dyDescent="0.35">
      <c r="A20" s="1" t="s">
        <v>13</v>
      </c>
      <c r="E20" s="4"/>
      <c r="G20" s="5"/>
      <c r="H20" s="4"/>
    </row>
    <row r="21" spans="1:9" x14ac:dyDescent="0.35">
      <c r="A21" t="s">
        <v>14</v>
      </c>
      <c r="B21">
        <v>8</v>
      </c>
      <c r="C21">
        <v>4.8860000000000001</v>
      </c>
      <c r="D21" s="5">
        <f>(B21*C21)</f>
        <v>39.088000000000001</v>
      </c>
      <c r="E21" s="4">
        <f t="shared" si="1"/>
        <v>0.58088869074156635</v>
      </c>
      <c r="F21">
        <v>50</v>
      </c>
      <c r="G21" s="5">
        <f t="shared" si="2"/>
        <v>46.52</v>
      </c>
      <c r="H21" s="4">
        <f t="shared" si="3"/>
        <v>0.12383208667181304</v>
      </c>
    </row>
    <row r="22" spans="1:9" x14ac:dyDescent="0.35">
      <c r="A22" t="s">
        <v>1</v>
      </c>
      <c r="B22">
        <v>278</v>
      </c>
      <c r="C22">
        <v>2.3820000000000001</v>
      </c>
      <c r="D22" s="5">
        <f t="shared" ref="D22:D24" si="4">(B22*C22)</f>
        <v>662.19600000000003</v>
      </c>
      <c r="E22" s="4">
        <f t="shared" si="1"/>
        <v>9.8409273294694604</v>
      </c>
      <c r="F22">
        <v>60</v>
      </c>
      <c r="G22" s="5">
        <f t="shared" si="2"/>
        <v>1939.8839999999998</v>
      </c>
      <c r="H22" s="4">
        <f t="shared" si="3"/>
        <v>5.1637980142146027</v>
      </c>
    </row>
    <row r="23" spans="1:9" x14ac:dyDescent="0.35">
      <c r="A23" t="s">
        <v>15</v>
      </c>
      <c r="B23">
        <v>10</v>
      </c>
      <c r="C23">
        <v>2.6669999999999998</v>
      </c>
      <c r="D23" s="5">
        <f t="shared" si="4"/>
        <v>26.669999999999998</v>
      </c>
      <c r="E23" s="4">
        <f t="shared" si="1"/>
        <v>0.39634418189924203</v>
      </c>
      <c r="F23">
        <v>50</v>
      </c>
      <c r="G23" s="5">
        <f t="shared" si="2"/>
        <v>58.15</v>
      </c>
      <c r="H23" s="4">
        <f t="shared" si="3"/>
        <v>0.15479010833976628</v>
      </c>
    </row>
    <row r="24" spans="1:9" x14ac:dyDescent="0.35">
      <c r="A24" t="s">
        <v>19</v>
      </c>
      <c r="B24" s="8">
        <v>5</v>
      </c>
      <c r="C24">
        <v>0</v>
      </c>
      <c r="D24" s="9">
        <f t="shared" si="4"/>
        <v>0</v>
      </c>
      <c r="E24" s="4">
        <f t="shared" si="1"/>
        <v>0</v>
      </c>
      <c r="F24">
        <v>45</v>
      </c>
      <c r="G24" s="9">
        <f t="shared" si="2"/>
        <v>26.1675</v>
      </c>
      <c r="H24" s="10">
        <f t="shared" si="3"/>
        <v>6.9655548752894828E-2</v>
      </c>
    </row>
    <row r="25" spans="1:9" x14ac:dyDescent="0.35">
      <c r="A25" s="1" t="s">
        <v>11</v>
      </c>
      <c r="B25">
        <f>SUM(B21:B24)</f>
        <v>301</v>
      </c>
      <c r="D25" s="5">
        <f>SUM(D21:D24)</f>
        <v>727.95399999999995</v>
      </c>
      <c r="E25" s="4">
        <f t="shared" si="1"/>
        <v>10.818160202110267</v>
      </c>
      <c r="G25" s="5">
        <f>SUM(G21:G24)</f>
        <v>2070.7214999999997</v>
      </c>
      <c r="H25" s="4">
        <f t="shared" si="3"/>
        <v>5.5120757579790762</v>
      </c>
    </row>
    <row r="26" spans="1:9" x14ac:dyDescent="0.35">
      <c r="E26" s="4"/>
      <c r="G26" s="5"/>
      <c r="H26" s="4"/>
    </row>
    <row r="27" spans="1:9" x14ac:dyDescent="0.35">
      <c r="A27" s="1" t="s">
        <v>28</v>
      </c>
      <c r="B27" s="6">
        <f>(B18+B25)</f>
        <v>3936.3499675507906</v>
      </c>
      <c r="C27" s="1"/>
      <c r="D27" s="6">
        <f>(D18+D25)</f>
        <v>6728.8544842709016</v>
      </c>
      <c r="E27" s="4">
        <f t="shared" si="1"/>
        <v>99.997837483591951</v>
      </c>
      <c r="G27" s="5"/>
      <c r="H27" s="4"/>
    </row>
    <row r="28" spans="1:9" x14ac:dyDescent="0.35">
      <c r="E28" s="4"/>
      <c r="H28" s="4"/>
    </row>
    <row r="29" spans="1:9" x14ac:dyDescent="0.35">
      <c r="A29" s="1" t="s">
        <v>64</v>
      </c>
      <c r="E29" s="4"/>
      <c r="F29" s="2" t="s">
        <v>24</v>
      </c>
      <c r="H29" s="4"/>
      <c r="I29" s="2" t="s">
        <v>24</v>
      </c>
    </row>
    <row r="30" spans="1:9" x14ac:dyDescent="0.35">
      <c r="A30" t="s">
        <v>43</v>
      </c>
      <c r="B30">
        <f>(B10)</f>
        <v>563.5</v>
      </c>
      <c r="C30">
        <v>0</v>
      </c>
      <c r="D30" s="5">
        <f>(B30*C30)</f>
        <v>0</v>
      </c>
      <c r="E30" s="4">
        <f t="shared" si="1"/>
        <v>0</v>
      </c>
      <c r="F30" s="41">
        <f>(E30+E31)</f>
        <v>0.58088869074156635</v>
      </c>
      <c r="G30" s="5">
        <f>(G10)</f>
        <v>2424.7968500000002</v>
      </c>
      <c r="H30" s="4">
        <f t="shared" si="3"/>
        <v>6.4545927276599153</v>
      </c>
      <c r="I30" s="41">
        <f>(H31)</f>
        <v>0.12383208667181304</v>
      </c>
    </row>
    <row r="31" spans="1:9" x14ac:dyDescent="0.35">
      <c r="A31" t="s">
        <v>14</v>
      </c>
      <c r="B31">
        <f>(B11+B21)</f>
        <v>8</v>
      </c>
      <c r="C31">
        <v>4.8860000000000001</v>
      </c>
      <c r="D31" s="5">
        <f t="shared" ref="D31:D39" si="5">(B31*C31)</f>
        <v>39.088000000000001</v>
      </c>
      <c r="E31" s="4">
        <f t="shared" si="1"/>
        <v>0.58088869074156635</v>
      </c>
      <c r="F31" s="42"/>
      <c r="G31" s="5">
        <f>(G11+G21)</f>
        <v>46.52</v>
      </c>
      <c r="H31" s="4">
        <f t="shared" si="3"/>
        <v>0.12383208667181304</v>
      </c>
      <c r="I31" s="42"/>
    </row>
    <row r="32" spans="1:9" x14ac:dyDescent="0.35">
      <c r="A32" t="s">
        <v>1</v>
      </c>
      <c r="B32" s="5">
        <f>(B12+B22)</f>
        <v>2508.7579641114098</v>
      </c>
      <c r="C32">
        <v>2.3820000000000001</v>
      </c>
      <c r="D32" s="5">
        <f t="shared" si="5"/>
        <v>5975.8614705133787</v>
      </c>
      <c r="E32" s="4">
        <f t="shared" si="1"/>
        <v>88.807571266360213</v>
      </c>
      <c r="G32" s="5">
        <f>(G48-G51-G39-G36-G34-G33-G31)</f>
        <v>16208.927317438634</v>
      </c>
      <c r="H32" s="4">
        <f t="shared" si="3"/>
        <v>43.146717378120783</v>
      </c>
    </row>
    <row r="33" spans="1:9" x14ac:dyDescent="0.35">
      <c r="A33" t="s">
        <v>2</v>
      </c>
      <c r="B33">
        <f>(B13)</f>
        <v>58</v>
      </c>
      <c r="C33">
        <v>3.1819999999999999</v>
      </c>
      <c r="D33" s="5">
        <f t="shared" si="5"/>
        <v>184.55599999999998</v>
      </c>
      <c r="E33" s="4">
        <f t="shared" si="1"/>
        <v>2.7426957943230792</v>
      </c>
      <c r="G33" s="5">
        <f>(G13)</f>
        <v>202.36199999999999</v>
      </c>
      <c r="H33" s="4">
        <f t="shared" si="3"/>
        <v>0.53866957702238671</v>
      </c>
    </row>
    <row r="34" spans="1:9" x14ac:dyDescent="0.35">
      <c r="A34" t="s">
        <v>3</v>
      </c>
      <c r="B34">
        <f>(B14)</f>
        <v>19</v>
      </c>
      <c r="C34">
        <v>3.069</v>
      </c>
      <c r="D34" s="5">
        <f t="shared" si="5"/>
        <v>58.311</v>
      </c>
      <c r="E34" s="4">
        <f t="shared" si="1"/>
        <v>0.86656263932233613</v>
      </c>
      <c r="G34" s="5">
        <f>(G14)</f>
        <v>66.291000000000011</v>
      </c>
      <c r="H34" s="4">
        <f t="shared" si="3"/>
        <v>0.17646072350733358</v>
      </c>
    </row>
    <row r="35" spans="1:9" x14ac:dyDescent="0.35">
      <c r="A35" t="s">
        <v>18</v>
      </c>
      <c r="B35">
        <f>(B15)</f>
        <v>613</v>
      </c>
      <c r="C35">
        <v>0</v>
      </c>
      <c r="D35" s="5">
        <f t="shared" si="5"/>
        <v>0</v>
      </c>
      <c r="E35" s="4">
        <f t="shared" si="1"/>
        <v>0</v>
      </c>
      <c r="G35" s="5">
        <f>(G15)</f>
        <v>2673.44625</v>
      </c>
      <c r="H35" s="4">
        <f t="shared" si="3"/>
        <v>7.1164752309207548</v>
      </c>
    </row>
    <row r="36" spans="1:9" x14ac:dyDescent="0.35">
      <c r="A36" t="s">
        <v>15</v>
      </c>
      <c r="B36">
        <f>(B23)</f>
        <v>10</v>
      </c>
      <c r="C36">
        <v>2.6669999999999998</v>
      </c>
      <c r="D36" s="5">
        <f t="shared" si="5"/>
        <v>26.669999999999998</v>
      </c>
      <c r="E36" s="4">
        <f t="shared" si="1"/>
        <v>0.39634418189924203</v>
      </c>
      <c r="G36" s="5">
        <f>(G23)</f>
        <v>58.15</v>
      </c>
      <c r="H36" s="4">
        <f t="shared" si="3"/>
        <v>0.15479010833976628</v>
      </c>
    </row>
    <row r="37" spans="1:9" x14ac:dyDescent="0.35">
      <c r="A37" t="s">
        <v>19</v>
      </c>
      <c r="B37">
        <f>(B24)</f>
        <v>5</v>
      </c>
      <c r="C37">
        <v>0</v>
      </c>
      <c r="D37" s="5">
        <f t="shared" si="5"/>
        <v>0</v>
      </c>
      <c r="E37" s="4">
        <f t="shared" si="1"/>
        <v>0</v>
      </c>
      <c r="G37" s="5">
        <f>(G24)</f>
        <v>26.1675</v>
      </c>
      <c r="H37" s="4">
        <f t="shared" si="3"/>
        <v>6.9655548752894828E-2</v>
      </c>
    </row>
    <row r="38" spans="1:9" x14ac:dyDescent="0.35">
      <c r="A38" t="s">
        <v>17</v>
      </c>
      <c r="B38">
        <f>(B16)</f>
        <v>40</v>
      </c>
      <c r="C38">
        <v>0</v>
      </c>
      <c r="D38" s="5">
        <f t="shared" si="5"/>
        <v>0</v>
      </c>
      <c r="E38" s="4">
        <f t="shared" si="1"/>
        <v>0</v>
      </c>
      <c r="G38" s="5">
        <f>(G16)</f>
        <v>186.08</v>
      </c>
      <c r="H38" s="4">
        <f t="shared" si="3"/>
        <v>0.49532834668725217</v>
      </c>
    </row>
    <row r="39" spans="1:9" x14ac:dyDescent="0.35">
      <c r="A39" t="s">
        <v>16</v>
      </c>
      <c r="B39" s="5">
        <f>(B17)</f>
        <v>111.0920034393809</v>
      </c>
      <c r="C39">
        <v>4</v>
      </c>
      <c r="D39" s="5">
        <f t="shared" si="5"/>
        <v>444.36801375752361</v>
      </c>
      <c r="E39" s="4">
        <f t="shared" si="1"/>
        <v>6.6037749109455133</v>
      </c>
      <c r="G39" s="5">
        <f>(G17)</f>
        <v>323</v>
      </c>
      <c r="H39" s="10">
        <f t="shared" si="3"/>
        <v>0.85979716240317305</v>
      </c>
    </row>
    <row r="40" spans="1:9" x14ac:dyDescent="0.35">
      <c r="A40" s="1" t="s">
        <v>34</v>
      </c>
      <c r="B40" s="6">
        <f>SUM(B30:B39)</f>
        <v>3936.3499675507906</v>
      </c>
      <c r="C40" s="1"/>
      <c r="D40" s="6">
        <f>SUM(D30:D39)</f>
        <v>6728.8544842709016</v>
      </c>
      <c r="E40" s="4">
        <f t="shared" si="1"/>
        <v>99.997837483591951</v>
      </c>
      <c r="G40" s="5">
        <f>SUM(G30:G39)</f>
        <v>22215.740917438641</v>
      </c>
      <c r="H40" s="4">
        <f t="shared" si="3"/>
        <v>59.136318890086095</v>
      </c>
    </row>
    <row r="41" spans="1:9" x14ac:dyDescent="0.35">
      <c r="H41" s="4"/>
    </row>
    <row r="42" spans="1:9" ht="15.5" x14ac:dyDescent="0.35">
      <c r="A42" s="12" t="s">
        <v>29</v>
      </c>
      <c r="H42" s="4"/>
      <c r="I42" s="2" t="s">
        <v>39</v>
      </c>
    </row>
    <row r="43" spans="1:9" x14ac:dyDescent="0.35">
      <c r="A43" t="s">
        <v>44</v>
      </c>
      <c r="B43" s="5">
        <f>(G43*3.6/41.868)</f>
        <v>1250.465779037213</v>
      </c>
      <c r="C43">
        <v>0</v>
      </c>
      <c r="D43">
        <v>0</v>
      </c>
      <c r="E43">
        <v>0</v>
      </c>
      <c r="F43">
        <v>100</v>
      </c>
      <c r="G43" s="5">
        <f>(G51-G44-G10-G15-G16-G24)</f>
        <v>14542.917010202787</v>
      </c>
      <c r="H43" s="4">
        <f t="shared" si="3"/>
        <v>38.711946682468088</v>
      </c>
      <c r="I43" s="18">
        <f>(G43/8.76)/0.3</f>
        <v>5533.8344787681845</v>
      </c>
    </row>
    <row r="44" spans="1:9" x14ac:dyDescent="0.35">
      <c r="A44" t="s">
        <v>30</v>
      </c>
      <c r="B44" s="8">
        <v>69</v>
      </c>
      <c r="C44">
        <v>0</v>
      </c>
      <c r="D44">
        <v>0</v>
      </c>
      <c r="E44">
        <v>0</v>
      </c>
      <c r="F44">
        <v>100</v>
      </c>
      <c r="G44" s="9">
        <f>(B44*42.186/3.6)</f>
        <v>808.56499999999994</v>
      </c>
      <c r="H44" s="10">
        <f t="shared" si="3"/>
        <v>2.1523278409242153</v>
      </c>
    </row>
    <row r="45" spans="1:9" x14ac:dyDescent="0.35">
      <c r="A45" s="1" t="s">
        <v>11</v>
      </c>
      <c r="B45" s="6">
        <f>SUM(B43:B44)</f>
        <v>1319.465779037213</v>
      </c>
      <c r="G45" s="6">
        <f>SUM(G43:G44)</f>
        <v>15351.482010202788</v>
      </c>
      <c r="H45" s="4">
        <f t="shared" si="3"/>
        <v>40.864274523392311</v>
      </c>
    </row>
    <row r="46" spans="1:9" x14ac:dyDescent="0.35">
      <c r="D46" s="37" t="s">
        <v>47</v>
      </c>
      <c r="H46" s="4"/>
    </row>
    <row r="47" spans="1:9" ht="15.5" x14ac:dyDescent="0.35">
      <c r="A47" s="12"/>
      <c r="B47" s="1"/>
      <c r="D47" s="36" t="s">
        <v>46</v>
      </c>
      <c r="G47" s="6"/>
      <c r="H47" s="4"/>
    </row>
    <row r="48" spans="1:9" ht="15.5" x14ac:dyDescent="0.35">
      <c r="A48" s="12" t="s">
        <v>58</v>
      </c>
      <c r="B48" s="6">
        <f>(B40+B45)</f>
        <v>5255.8157465880031</v>
      </c>
      <c r="D48" s="38">
        <f>(D40/G48)</f>
        <v>0.17911503592457209</v>
      </c>
      <c r="G48" s="6">
        <f>(27913*POWER(1.02,15))</f>
        <v>37567.222927641422</v>
      </c>
      <c r="H48" s="4">
        <f t="shared" si="3"/>
        <v>100.00059341347838</v>
      </c>
    </row>
    <row r="49" spans="1:9" ht="15.5" x14ac:dyDescent="0.35">
      <c r="A49" s="12"/>
      <c r="G49" s="6"/>
      <c r="H49" s="11"/>
    </row>
    <row r="50" spans="1:9" x14ac:dyDescent="0.35">
      <c r="H50" s="11" t="s">
        <v>21</v>
      </c>
    </row>
    <row r="51" spans="1:9" ht="15.5" x14ac:dyDescent="0.35">
      <c r="A51" s="12" t="s">
        <v>59</v>
      </c>
      <c r="B51" s="6">
        <f>(B10+B15+B16+B24+B43+B44)</f>
        <v>2540.965779037213</v>
      </c>
      <c r="G51" s="6">
        <f>(G48*0.55)</f>
        <v>20661.972610202785</v>
      </c>
      <c r="H51" s="17">
        <v>55</v>
      </c>
    </row>
    <row r="52" spans="1:9" x14ac:dyDescent="0.35">
      <c r="H52" s="17"/>
    </row>
    <row r="53" spans="1:9" ht="15.5" x14ac:dyDescent="0.35">
      <c r="A53" s="12" t="s">
        <v>49</v>
      </c>
      <c r="H53" s="16">
        <f>(G30+G32+G33+G34+G35+G44)/G48*100</f>
        <v>59.584889893387697</v>
      </c>
    </row>
    <row r="55" spans="1:9" x14ac:dyDescent="0.35">
      <c r="A55" s="1" t="s">
        <v>50</v>
      </c>
      <c r="I55" s="2" t="s">
        <v>54</v>
      </c>
    </row>
    <row r="56" spans="1:9" x14ac:dyDescent="0.35">
      <c r="A56" t="s">
        <v>51</v>
      </c>
    </row>
    <row r="57" spans="1:9" x14ac:dyDescent="0.35">
      <c r="A57" t="s">
        <v>52</v>
      </c>
      <c r="I57" s="19">
        <f>(I43-'2015 Actual'!I42)*1.75</f>
        <v>5275.3434872608623</v>
      </c>
    </row>
    <row r="58" spans="1:9" x14ac:dyDescent="0.35">
      <c r="A58" t="s">
        <v>62</v>
      </c>
      <c r="I58" s="20">
        <f>(I43-'2015 Actual'!I42)*0.5</f>
        <v>1507.2409963602463</v>
      </c>
    </row>
    <row r="59" spans="1:9" x14ac:dyDescent="0.35">
      <c r="A59" t="s">
        <v>11</v>
      </c>
      <c r="I59" s="22">
        <f>SUM(I57:I58)</f>
        <v>6782.584483621109</v>
      </c>
    </row>
    <row r="61" spans="1:9" x14ac:dyDescent="0.35">
      <c r="A61" t="s">
        <v>55</v>
      </c>
    </row>
    <row r="62" spans="1:9" x14ac:dyDescent="0.35">
      <c r="A62" t="s">
        <v>56</v>
      </c>
      <c r="I62" s="21">
        <f>(846*0.5)</f>
        <v>423</v>
      </c>
    </row>
    <row r="64" spans="1:9" x14ac:dyDescent="0.35">
      <c r="A64" s="1" t="s">
        <v>11</v>
      </c>
      <c r="I64" s="18">
        <f>(I59+I62)</f>
        <v>7205.584483621109</v>
      </c>
    </row>
  </sheetData>
  <mergeCells count="4">
    <mergeCell ref="A1:I2"/>
    <mergeCell ref="A3:I3"/>
    <mergeCell ref="F30:F31"/>
    <mergeCell ref="I30:I31"/>
  </mergeCells>
  <pageMargins left="0.25" right="0.25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1"/>
  <sheetViews>
    <sheetView topLeftCell="A49" zoomScaleNormal="100" workbookViewId="0">
      <selection activeCell="D47" sqref="D47:D49"/>
    </sheetView>
  </sheetViews>
  <sheetFormatPr defaultRowHeight="14.5" x14ac:dyDescent="0.35"/>
  <cols>
    <col min="1" max="1" width="29.26953125" customWidth="1"/>
    <col min="2" max="2" width="14.26953125" customWidth="1"/>
    <col min="3" max="3" width="18.453125" customWidth="1"/>
    <col min="6" max="6" width="25" customWidth="1"/>
    <col min="7" max="7" width="26.54296875" customWidth="1"/>
    <col min="9" max="9" width="17.81640625" customWidth="1"/>
  </cols>
  <sheetData>
    <row r="1" spans="1:9" x14ac:dyDescent="0.35">
      <c r="A1" s="43" t="s">
        <v>65</v>
      </c>
      <c r="B1" s="43"/>
      <c r="C1" s="43"/>
      <c r="D1" s="43"/>
      <c r="E1" s="43"/>
      <c r="F1" s="43"/>
      <c r="G1" s="43"/>
      <c r="H1" s="43"/>
      <c r="I1" s="43"/>
    </row>
    <row r="2" spans="1:9" x14ac:dyDescent="0.35">
      <c r="A2" s="43"/>
      <c r="B2" s="43"/>
      <c r="C2" s="43"/>
      <c r="D2" s="43"/>
      <c r="E2" s="43"/>
      <c r="F2" s="43"/>
      <c r="G2" s="43"/>
      <c r="H2" s="43"/>
      <c r="I2" s="43"/>
    </row>
    <row r="3" spans="1:9" ht="15.5" x14ac:dyDescent="0.35">
      <c r="A3" s="44" t="s">
        <v>42</v>
      </c>
      <c r="B3" s="42"/>
      <c r="C3" s="42"/>
      <c r="D3" s="42"/>
      <c r="E3" s="42"/>
      <c r="F3" s="42"/>
      <c r="G3" s="42"/>
      <c r="H3" s="42"/>
      <c r="I3" s="42"/>
    </row>
    <row r="4" spans="1:9" x14ac:dyDescent="0.35">
      <c r="A4" s="1" t="s">
        <v>26</v>
      </c>
      <c r="B4" s="2" t="s">
        <v>4</v>
      </c>
      <c r="C4" s="2" t="s">
        <v>6</v>
      </c>
      <c r="D4" s="2" t="s">
        <v>8</v>
      </c>
      <c r="E4" s="2" t="s">
        <v>8</v>
      </c>
      <c r="F4" s="2" t="s">
        <v>20</v>
      </c>
      <c r="G4" s="2" t="s">
        <v>22</v>
      </c>
      <c r="H4" s="2" t="s">
        <v>9</v>
      </c>
    </row>
    <row r="5" spans="1:9" x14ac:dyDescent="0.35">
      <c r="A5" s="1"/>
      <c r="B5" s="24" t="s">
        <v>5</v>
      </c>
      <c r="C5" s="24" t="s">
        <v>7</v>
      </c>
      <c r="D5" s="24" t="s">
        <v>10</v>
      </c>
      <c r="E5" s="24" t="s">
        <v>21</v>
      </c>
      <c r="F5" s="24" t="s">
        <v>21</v>
      </c>
      <c r="G5" s="24" t="s">
        <v>23</v>
      </c>
      <c r="H5" s="24" t="s">
        <v>21</v>
      </c>
    </row>
    <row r="6" spans="1:9" ht="15.5" x14ac:dyDescent="0.35">
      <c r="A6" s="12" t="s">
        <v>27</v>
      </c>
      <c r="B6" s="24"/>
      <c r="C6" s="24"/>
      <c r="D6" s="24"/>
      <c r="E6" s="24"/>
    </row>
    <row r="7" spans="1:9" ht="15.5" x14ac:dyDescent="0.35">
      <c r="A7" s="12"/>
      <c r="B7" s="24"/>
      <c r="C7" s="24"/>
      <c r="D7" s="24"/>
      <c r="E7" s="24"/>
    </row>
    <row r="8" spans="1:9" x14ac:dyDescent="0.35">
      <c r="A8" s="1" t="s">
        <v>12</v>
      </c>
      <c r="B8" s="24"/>
      <c r="C8" s="24"/>
      <c r="D8" s="24"/>
      <c r="E8" s="24"/>
    </row>
    <row r="9" spans="1:9" x14ac:dyDescent="0.35">
      <c r="A9" s="15" t="s">
        <v>43</v>
      </c>
      <c r="B9">
        <v>0</v>
      </c>
      <c r="C9">
        <v>0</v>
      </c>
      <c r="D9" s="5">
        <f>(B9*C9)</f>
        <v>0</v>
      </c>
      <c r="E9" s="4">
        <f>(D9/6729*100)</f>
        <v>0</v>
      </c>
      <c r="F9">
        <v>37</v>
      </c>
      <c r="G9" s="5">
        <f>(B9*41.868/3.6)*(F9/100)</f>
        <v>0</v>
      </c>
      <c r="H9" s="4">
        <f>(G9/37567)*100</f>
        <v>0</v>
      </c>
    </row>
    <row r="10" spans="1:9" x14ac:dyDescent="0.35">
      <c r="A10" t="s">
        <v>14</v>
      </c>
      <c r="B10">
        <v>0</v>
      </c>
      <c r="C10">
        <v>4.8860000000000001</v>
      </c>
      <c r="D10" s="5">
        <f t="shared" ref="D10:D17" si="0">(B10*C10)</f>
        <v>0</v>
      </c>
      <c r="E10" s="4">
        <f t="shared" ref="E10:E41" si="1">(D10/6729*100)</f>
        <v>0</v>
      </c>
      <c r="F10">
        <v>37.5</v>
      </c>
      <c r="G10" s="5">
        <f t="shared" ref="G10:G24" si="2">(B10*41.868/3.6)*(F10/100)</f>
        <v>0</v>
      </c>
      <c r="H10" s="4">
        <f t="shared" ref="H10:H49" si="3">(G10/37567)*100</f>
        <v>0</v>
      </c>
    </row>
    <row r="11" spans="1:9" x14ac:dyDescent="0.35">
      <c r="A11" t="s">
        <v>1</v>
      </c>
      <c r="B11" s="5">
        <v>2168.6</v>
      </c>
      <c r="C11">
        <v>2.3820000000000001</v>
      </c>
      <c r="D11" s="5">
        <f>(B11*C11)</f>
        <v>5165.6052</v>
      </c>
      <c r="E11" s="4">
        <f t="shared" si="1"/>
        <v>76.766312973695932</v>
      </c>
      <c r="F11">
        <v>55</v>
      </c>
      <c r="G11" s="5">
        <f>(B11*F11/100)*(41.868/3.6)</f>
        <v>13871.449900000001</v>
      </c>
      <c r="H11" s="4">
        <f t="shared" si="3"/>
        <v>36.92456118401789</v>
      </c>
    </row>
    <row r="12" spans="1:9" x14ac:dyDescent="0.35">
      <c r="A12" t="s">
        <v>61</v>
      </c>
      <c r="B12" s="5">
        <f>(G12/F12*100)*(3.6/41.868)</f>
        <v>827.80918390039403</v>
      </c>
      <c r="C12" s="26">
        <f>(C11*(100-92.5)/100)</f>
        <v>0.17865000000000003</v>
      </c>
      <c r="D12" s="5">
        <f>(B12*C12)</f>
        <v>147.88811070380541</v>
      </c>
      <c r="E12" s="4">
        <f t="shared" si="1"/>
        <v>2.1977724877961866</v>
      </c>
      <c r="F12" s="4">
        <v>47.48</v>
      </c>
      <c r="G12" s="5">
        <f>(432+445)*0.85*0.7*8.76</f>
        <v>4571.0993999999992</v>
      </c>
      <c r="H12" s="4"/>
    </row>
    <row r="13" spans="1:9" x14ac:dyDescent="0.35">
      <c r="A13" t="s">
        <v>2</v>
      </c>
      <c r="B13">
        <v>58</v>
      </c>
      <c r="C13">
        <v>3.1819999999999999</v>
      </c>
      <c r="D13" s="5">
        <f t="shared" si="0"/>
        <v>184.55599999999998</v>
      </c>
      <c r="E13" s="4">
        <f t="shared" si="1"/>
        <v>2.7426957943230792</v>
      </c>
      <c r="F13">
        <v>30</v>
      </c>
      <c r="G13" s="5">
        <f t="shared" si="2"/>
        <v>202.36199999999999</v>
      </c>
      <c r="H13" s="4">
        <f t="shared" si="3"/>
        <v>0.53866957702238671</v>
      </c>
    </row>
    <row r="14" spans="1:9" x14ac:dyDescent="0.35">
      <c r="A14" t="s">
        <v>3</v>
      </c>
      <c r="B14">
        <v>19</v>
      </c>
      <c r="C14">
        <v>3.069</v>
      </c>
      <c r="D14" s="5">
        <f t="shared" si="0"/>
        <v>58.311</v>
      </c>
      <c r="E14" s="4">
        <f t="shared" si="1"/>
        <v>0.86656263932233613</v>
      </c>
      <c r="F14">
        <v>30</v>
      </c>
      <c r="G14" s="5">
        <f t="shared" si="2"/>
        <v>66.291000000000011</v>
      </c>
      <c r="H14" s="4">
        <f t="shared" si="3"/>
        <v>0.17646072350733358</v>
      </c>
    </row>
    <row r="15" spans="1:9" x14ac:dyDescent="0.35">
      <c r="A15" t="s">
        <v>18</v>
      </c>
      <c r="B15" s="5">
        <f>(66+547*0.33)</f>
        <v>246.51000000000002</v>
      </c>
      <c r="C15">
        <v>0</v>
      </c>
      <c r="D15" s="5">
        <f t="shared" si="0"/>
        <v>0</v>
      </c>
      <c r="E15" s="4">
        <f t="shared" si="1"/>
        <v>0</v>
      </c>
      <c r="F15">
        <v>37.5</v>
      </c>
      <c r="G15" s="5">
        <f t="shared" si="2"/>
        <v>1075.0917375000004</v>
      </c>
      <c r="H15" s="4">
        <f t="shared" si="3"/>
        <v>2.8617982205126848</v>
      </c>
    </row>
    <row r="16" spans="1:9" x14ac:dyDescent="0.35">
      <c r="A16" t="s">
        <v>17</v>
      </c>
      <c r="B16">
        <v>40</v>
      </c>
      <c r="C16">
        <v>0</v>
      </c>
      <c r="D16" s="5">
        <f t="shared" si="0"/>
        <v>0</v>
      </c>
      <c r="E16" s="4">
        <f t="shared" si="1"/>
        <v>0</v>
      </c>
      <c r="F16">
        <v>40</v>
      </c>
      <c r="G16" s="5">
        <f t="shared" si="2"/>
        <v>186.08</v>
      </c>
      <c r="H16" s="4">
        <f t="shared" si="3"/>
        <v>0.49532834668725217</v>
      </c>
    </row>
    <row r="17" spans="1:9" x14ac:dyDescent="0.35">
      <c r="A17" t="s">
        <v>16</v>
      </c>
      <c r="B17" s="9">
        <f>(G17*100/F17)*(3.6/41.868)</f>
        <v>111.0920034393809</v>
      </c>
      <c r="C17">
        <v>4</v>
      </c>
      <c r="D17" s="9">
        <f t="shared" si="0"/>
        <v>444.36801375752361</v>
      </c>
      <c r="E17" s="4">
        <f t="shared" si="1"/>
        <v>6.6037749109455133</v>
      </c>
      <c r="F17">
        <v>25</v>
      </c>
      <c r="G17" s="9">
        <f>(73+250)</f>
        <v>323</v>
      </c>
      <c r="H17" s="10">
        <f t="shared" si="3"/>
        <v>0.85979716240317305</v>
      </c>
    </row>
    <row r="18" spans="1:9" x14ac:dyDescent="0.35">
      <c r="A18" s="1" t="s">
        <v>11</v>
      </c>
      <c r="B18" s="5">
        <f>SUM(B9:B17)</f>
        <v>3471.011187339775</v>
      </c>
      <c r="D18" s="5">
        <f>SUM(D9:D17)</f>
        <v>6000.7283244613282</v>
      </c>
      <c r="E18" s="4">
        <f t="shared" si="1"/>
        <v>89.177118806083044</v>
      </c>
      <c r="G18" s="5">
        <f>SUM(G9:G17)</f>
        <v>20295.374037500002</v>
      </c>
      <c r="H18" s="4">
        <f t="shared" si="3"/>
        <v>54.02447370697687</v>
      </c>
    </row>
    <row r="19" spans="1:9" x14ac:dyDescent="0.35">
      <c r="E19" s="4"/>
      <c r="G19" s="5"/>
      <c r="H19" s="4"/>
    </row>
    <row r="20" spans="1:9" x14ac:dyDescent="0.35">
      <c r="A20" s="1" t="s">
        <v>13</v>
      </c>
      <c r="E20" s="4"/>
      <c r="G20" s="5"/>
      <c r="H20" s="4"/>
    </row>
    <row r="21" spans="1:9" x14ac:dyDescent="0.35">
      <c r="A21" t="s">
        <v>14</v>
      </c>
      <c r="B21">
        <v>8</v>
      </c>
      <c r="C21">
        <v>4.8860000000000001</v>
      </c>
      <c r="D21" s="5">
        <f>(B21*C21)</f>
        <v>39.088000000000001</v>
      </c>
      <c r="E21" s="4">
        <f t="shared" si="1"/>
        <v>0.58088869074156635</v>
      </c>
      <c r="F21">
        <v>50</v>
      </c>
      <c r="G21" s="5">
        <f t="shared" si="2"/>
        <v>46.52</v>
      </c>
      <c r="H21" s="4">
        <f t="shared" si="3"/>
        <v>0.12383208667181304</v>
      </c>
    </row>
    <row r="22" spans="1:9" x14ac:dyDescent="0.35">
      <c r="A22" t="s">
        <v>1</v>
      </c>
      <c r="B22">
        <v>278</v>
      </c>
      <c r="C22">
        <v>2.3820000000000001</v>
      </c>
      <c r="D22" s="5">
        <f t="shared" ref="D22:D24" si="4">(B22*C22)</f>
        <v>662.19600000000003</v>
      </c>
      <c r="E22" s="4">
        <f t="shared" si="1"/>
        <v>9.8409273294694604</v>
      </c>
      <c r="F22">
        <v>60</v>
      </c>
      <c r="G22" s="5">
        <f t="shared" si="2"/>
        <v>1939.8839999999998</v>
      </c>
      <c r="H22" s="4">
        <f t="shared" si="3"/>
        <v>5.1637980142146027</v>
      </c>
    </row>
    <row r="23" spans="1:9" x14ac:dyDescent="0.35">
      <c r="A23" t="s">
        <v>15</v>
      </c>
      <c r="B23">
        <v>10</v>
      </c>
      <c r="C23">
        <v>2.6669999999999998</v>
      </c>
      <c r="D23" s="5">
        <f t="shared" si="4"/>
        <v>26.669999999999998</v>
      </c>
      <c r="E23" s="4">
        <f t="shared" si="1"/>
        <v>0.39634418189924203</v>
      </c>
      <c r="F23">
        <v>50</v>
      </c>
      <c r="G23" s="5">
        <f t="shared" si="2"/>
        <v>58.15</v>
      </c>
      <c r="H23" s="4">
        <f t="shared" si="3"/>
        <v>0.15479010833976628</v>
      </c>
    </row>
    <row r="24" spans="1:9" x14ac:dyDescent="0.35">
      <c r="A24" t="s">
        <v>19</v>
      </c>
      <c r="B24" s="8">
        <v>5</v>
      </c>
      <c r="C24">
        <v>0</v>
      </c>
      <c r="D24" s="9">
        <f t="shared" si="4"/>
        <v>0</v>
      </c>
      <c r="E24" s="4">
        <f t="shared" si="1"/>
        <v>0</v>
      </c>
      <c r="F24">
        <v>45</v>
      </c>
      <c r="G24" s="9">
        <f t="shared" si="2"/>
        <v>26.1675</v>
      </c>
      <c r="H24" s="10">
        <f t="shared" si="3"/>
        <v>6.9655548752894828E-2</v>
      </c>
    </row>
    <row r="25" spans="1:9" x14ac:dyDescent="0.35">
      <c r="A25" s="1" t="s">
        <v>11</v>
      </c>
      <c r="B25">
        <f>SUM(B21:B24)</f>
        <v>301</v>
      </c>
      <c r="D25" s="5">
        <f>SUM(D21:D24)</f>
        <v>727.95399999999995</v>
      </c>
      <c r="E25" s="4">
        <f t="shared" si="1"/>
        <v>10.818160202110267</v>
      </c>
      <c r="G25" s="5">
        <f>SUM(G21:G24)</f>
        <v>2070.7214999999997</v>
      </c>
      <c r="H25" s="4">
        <f t="shared" si="3"/>
        <v>5.5120757579790762</v>
      </c>
    </row>
    <row r="26" spans="1:9" x14ac:dyDescent="0.35">
      <c r="E26" s="4"/>
      <c r="G26" s="5"/>
      <c r="H26" s="4"/>
    </row>
    <row r="27" spans="1:9" x14ac:dyDescent="0.35">
      <c r="A27" s="1" t="s">
        <v>28</v>
      </c>
      <c r="B27" s="6">
        <f>(B18+B25)</f>
        <v>3772.011187339775</v>
      </c>
      <c r="C27" s="1"/>
      <c r="D27" s="6">
        <f>(D18+D25)</f>
        <v>6728.6823244613279</v>
      </c>
      <c r="E27" s="4">
        <f t="shared" si="1"/>
        <v>99.995279008193322</v>
      </c>
      <c r="G27" s="5"/>
      <c r="H27" s="4"/>
    </row>
    <row r="28" spans="1:9" x14ac:dyDescent="0.35">
      <c r="E28" s="4"/>
      <c r="H28" s="4"/>
    </row>
    <row r="29" spans="1:9" x14ac:dyDescent="0.35">
      <c r="A29" s="1" t="s">
        <v>64</v>
      </c>
      <c r="E29" s="4"/>
      <c r="F29" s="2" t="s">
        <v>24</v>
      </c>
      <c r="H29" s="4"/>
      <c r="I29" s="2" t="s">
        <v>24</v>
      </c>
    </row>
    <row r="30" spans="1:9" x14ac:dyDescent="0.35">
      <c r="A30" t="s">
        <v>43</v>
      </c>
      <c r="B30">
        <f>(B9)</f>
        <v>0</v>
      </c>
      <c r="C30">
        <v>0</v>
      </c>
      <c r="D30" s="5">
        <f>(B30*C30)</f>
        <v>0</v>
      </c>
      <c r="E30" s="4">
        <f t="shared" si="1"/>
        <v>0</v>
      </c>
      <c r="F30" s="41">
        <f>(E30+E31)</f>
        <v>0.58088869074156635</v>
      </c>
      <c r="G30" s="5">
        <f>(G9)</f>
        <v>0</v>
      </c>
      <c r="H30" s="4">
        <f t="shared" si="3"/>
        <v>0</v>
      </c>
      <c r="I30" s="41">
        <f>(H31)</f>
        <v>0.12383208667181304</v>
      </c>
    </row>
    <row r="31" spans="1:9" x14ac:dyDescent="0.35">
      <c r="A31" t="s">
        <v>14</v>
      </c>
      <c r="B31">
        <f>(B10+B21)</f>
        <v>8</v>
      </c>
      <c r="C31">
        <v>4.8860000000000001</v>
      </c>
      <c r="D31" s="5">
        <f t="shared" ref="D31:D40" si="5">(B31*C31)</f>
        <v>39.088000000000001</v>
      </c>
      <c r="E31" s="4">
        <f t="shared" si="1"/>
        <v>0.58088869074156635</v>
      </c>
      <c r="F31" s="42"/>
      <c r="G31" s="5">
        <f>(G10+G21)</f>
        <v>46.52</v>
      </c>
      <c r="H31" s="4">
        <f t="shared" si="3"/>
        <v>0.12383208667181304</v>
      </c>
      <c r="I31" s="42"/>
    </row>
    <row r="32" spans="1:9" x14ac:dyDescent="0.35">
      <c r="A32" t="s">
        <v>1</v>
      </c>
      <c r="B32" s="5">
        <f>(B11+B22)</f>
        <v>2446.6</v>
      </c>
      <c r="C32">
        <v>2.3820000000000001</v>
      </c>
      <c r="D32" s="5">
        <f t="shared" si="5"/>
        <v>5827.8011999999999</v>
      </c>
      <c r="E32" s="4">
        <f t="shared" si="1"/>
        <v>86.607240303165398</v>
      </c>
      <c r="G32" s="5">
        <f>(G11+G22)</f>
        <v>15811.333900000001</v>
      </c>
      <c r="H32" s="4">
        <f t="shared" si="3"/>
        <v>42.088359198232496</v>
      </c>
    </row>
    <row r="33" spans="1:9" x14ac:dyDescent="0.35">
      <c r="A33" t="s">
        <v>61</v>
      </c>
      <c r="B33" s="5">
        <f>(B12)</f>
        <v>827.80918390039403</v>
      </c>
      <c r="C33" s="26">
        <f>(C12)</f>
        <v>0.17865000000000003</v>
      </c>
      <c r="D33" s="5">
        <f>(B33*C33)</f>
        <v>147.88811070380541</v>
      </c>
      <c r="E33" s="4"/>
      <c r="G33" s="5">
        <f>(G12)</f>
        <v>4571.0993999999992</v>
      </c>
      <c r="H33" s="4"/>
    </row>
    <row r="34" spans="1:9" x14ac:dyDescent="0.35">
      <c r="A34" t="s">
        <v>2</v>
      </c>
      <c r="B34">
        <f>(B13)</f>
        <v>58</v>
      </c>
      <c r="C34">
        <v>3.1819999999999999</v>
      </c>
      <c r="D34" s="5">
        <f t="shared" si="5"/>
        <v>184.55599999999998</v>
      </c>
      <c r="E34" s="4">
        <f t="shared" si="1"/>
        <v>2.7426957943230792</v>
      </c>
      <c r="G34" s="5">
        <f>(G13)</f>
        <v>202.36199999999999</v>
      </c>
      <c r="H34" s="4">
        <f t="shared" si="3"/>
        <v>0.53866957702238671</v>
      </c>
    </row>
    <row r="35" spans="1:9" x14ac:dyDescent="0.35">
      <c r="A35" t="s">
        <v>3</v>
      </c>
      <c r="B35">
        <f>(B14)</f>
        <v>19</v>
      </c>
      <c r="C35">
        <v>3.069</v>
      </c>
      <c r="D35" s="5">
        <f t="shared" si="5"/>
        <v>58.311</v>
      </c>
      <c r="E35" s="4">
        <f t="shared" si="1"/>
        <v>0.86656263932233613</v>
      </c>
      <c r="G35" s="5">
        <f>(G14)</f>
        <v>66.291000000000011</v>
      </c>
      <c r="H35" s="4">
        <f t="shared" si="3"/>
        <v>0.17646072350733358</v>
      </c>
    </row>
    <row r="36" spans="1:9" x14ac:dyDescent="0.35">
      <c r="A36" t="s">
        <v>18</v>
      </c>
      <c r="B36" s="5">
        <f>(B15)</f>
        <v>246.51000000000002</v>
      </c>
      <c r="C36">
        <v>0</v>
      </c>
      <c r="D36" s="5">
        <f t="shared" si="5"/>
        <v>0</v>
      </c>
      <c r="E36" s="4">
        <f t="shared" si="1"/>
        <v>0</v>
      </c>
      <c r="G36" s="5">
        <f>(G15)</f>
        <v>1075.0917375000004</v>
      </c>
      <c r="H36" s="4">
        <f t="shared" si="3"/>
        <v>2.8617982205126848</v>
      </c>
    </row>
    <row r="37" spans="1:9" x14ac:dyDescent="0.35">
      <c r="A37" t="s">
        <v>15</v>
      </c>
      <c r="B37">
        <f>(B23)</f>
        <v>10</v>
      </c>
      <c r="C37">
        <v>2.6669999999999998</v>
      </c>
      <c r="D37" s="5">
        <f t="shared" si="5"/>
        <v>26.669999999999998</v>
      </c>
      <c r="E37" s="4">
        <f t="shared" si="1"/>
        <v>0.39634418189924203</v>
      </c>
      <c r="G37" s="5">
        <f>(G23)</f>
        <v>58.15</v>
      </c>
      <c r="H37" s="4">
        <f t="shared" si="3"/>
        <v>0.15479010833976628</v>
      </c>
    </row>
    <row r="38" spans="1:9" x14ac:dyDescent="0.35">
      <c r="A38" t="s">
        <v>19</v>
      </c>
      <c r="B38">
        <f>(B24)</f>
        <v>5</v>
      </c>
      <c r="C38">
        <v>0</v>
      </c>
      <c r="D38" s="5">
        <f t="shared" si="5"/>
        <v>0</v>
      </c>
      <c r="E38" s="4">
        <f t="shared" si="1"/>
        <v>0</v>
      </c>
      <c r="G38" s="5">
        <f>(G24)</f>
        <v>26.1675</v>
      </c>
      <c r="H38" s="4">
        <f t="shared" si="3"/>
        <v>6.9655548752894828E-2</v>
      </c>
    </row>
    <row r="39" spans="1:9" x14ac:dyDescent="0.35">
      <c r="A39" t="s">
        <v>17</v>
      </c>
      <c r="B39">
        <f>(B16)</f>
        <v>40</v>
      </c>
      <c r="C39">
        <v>0</v>
      </c>
      <c r="D39" s="5">
        <f t="shared" si="5"/>
        <v>0</v>
      </c>
      <c r="E39" s="4">
        <f t="shared" si="1"/>
        <v>0</v>
      </c>
      <c r="G39" s="5">
        <f>(G16)</f>
        <v>186.08</v>
      </c>
      <c r="H39" s="4">
        <f t="shared" si="3"/>
        <v>0.49532834668725217</v>
      </c>
    </row>
    <row r="40" spans="1:9" x14ac:dyDescent="0.35">
      <c r="A40" t="s">
        <v>16</v>
      </c>
      <c r="B40" s="5">
        <f>(B17)</f>
        <v>111.0920034393809</v>
      </c>
      <c r="C40">
        <v>4</v>
      </c>
      <c r="D40" s="9">
        <f t="shared" si="5"/>
        <v>444.36801375752361</v>
      </c>
      <c r="E40" s="4">
        <f t="shared" si="1"/>
        <v>6.6037749109455133</v>
      </c>
      <c r="G40" s="5">
        <f>(G17)</f>
        <v>323</v>
      </c>
      <c r="H40" s="10">
        <f t="shared" si="3"/>
        <v>0.85979716240317305</v>
      </c>
    </row>
    <row r="41" spans="1:9" x14ac:dyDescent="0.35">
      <c r="A41" s="1" t="s">
        <v>34</v>
      </c>
      <c r="B41" s="6">
        <f>SUM(B30:B40)</f>
        <v>3772.011187339775</v>
      </c>
      <c r="C41" s="1"/>
      <c r="D41" s="6">
        <f>SUM(D30:D40)</f>
        <v>6728.6823244613279</v>
      </c>
      <c r="E41" s="4">
        <f t="shared" si="1"/>
        <v>99.995279008193322</v>
      </c>
      <c r="G41" s="5">
        <f>(SUM(G30:G40))</f>
        <v>22366.095537500005</v>
      </c>
      <c r="H41" s="4">
        <f t="shared" si="3"/>
        <v>59.536549464955954</v>
      </c>
    </row>
    <row r="42" spans="1:9" x14ac:dyDescent="0.35">
      <c r="H42" s="4"/>
    </row>
    <row r="43" spans="1:9" ht="15.5" x14ac:dyDescent="0.35">
      <c r="A43" s="12" t="s">
        <v>29</v>
      </c>
      <c r="H43" s="4"/>
      <c r="I43" s="2" t="s">
        <v>39</v>
      </c>
    </row>
    <row r="44" spans="1:9" x14ac:dyDescent="0.35">
      <c r="A44" t="s">
        <v>44</v>
      </c>
      <c r="B44" s="5">
        <f>(G44/41.868*3.6)</f>
        <v>1237.5376087825809</v>
      </c>
      <c r="C44">
        <v>0</v>
      </c>
      <c r="D44">
        <v>0</v>
      </c>
      <c r="E44">
        <v>0</v>
      </c>
      <c r="F44">
        <v>100</v>
      </c>
      <c r="G44" s="5">
        <f>(G49-G41-G45)</f>
        <v>14392.562390141416</v>
      </c>
      <c r="H44" s="4">
        <f t="shared" si="3"/>
        <v>38.311716107598201</v>
      </c>
      <c r="I44" s="18">
        <f>(G44/8.76)/0.3</f>
        <v>5476.6219140568555</v>
      </c>
    </row>
    <row r="45" spans="1:9" x14ac:dyDescent="0.35">
      <c r="A45" t="s">
        <v>30</v>
      </c>
      <c r="B45" s="8">
        <v>69</v>
      </c>
      <c r="C45">
        <v>0</v>
      </c>
      <c r="D45">
        <v>0</v>
      </c>
      <c r="E45">
        <v>0</v>
      </c>
      <c r="F45">
        <v>100</v>
      </c>
      <c r="G45" s="9">
        <f>(B45*42.186/3.6)</f>
        <v>808.56499999999994</v>
      </c>
      <c r="H45" s="10">
        <f t="shared" si="3"/>
        <v>2.1523278409242153</v>
      </c>
    </row>
    <row r="46" spans="1:9" x14ac:dyDescent="0.35">
      <c r="A46" s="1" t="s">
        <v>11</v>
      </c>
      <c r="B46" s="6">
        <f>SUM(B44:B45)</f>
        <v>1306.5376087825809</v>
      </c>
      <c r="G46" s="6">
        <f>SUM(G44:G45)</f>
        <v>15201.127390141417</v>
      </c>
      <c r="H46" s="4">
        <f t="shared" si="3"/>
        <v>40.464043948522423</v>
      </c>
    </row>
    <row r="47" spans="1:9" x14ac:dyDescent="0.35">
      <c r="D47" s="37" t="s">
        <v>47</v>
      </c>
      <c r="H47" s="4"/>
    </row>
    <row r="48" spans="1:9" ht="15.5" x14ac:dyDescent="0.35">
      <c r="A48" s="12"/>
      <c r="B48" s="1"/>
      <c r="D48" s="36" t="s">
        <v>46</v>
      </c>
      <c r="G48" s="6"/>
      <c r="H48" s="4"/>
    </row>
    <row r="49" spans="1:9" ht="15.5" x14ac:dyDescent="0.35">
      <c r="A49" s="12" t="s">
        <v>58</v>
      </c>
      <c r="B49" s="6">
        <f>(B41+B46)</f>
        <v>5078.5487961223562</v>
      </c>
      <c r="D49" s="38">
        <f>(D41/G49)</f>
        <v>0.17911045321134078</v>
      </c>
      <c r="G49" s="6">
        <f>(27913*POWER(1.02,15))</f>
        <v>37567.222927641422</v>
      </c>
      <c r="H49" s="4">
        <f t="shared" si="3"/>
        <v>100.00059341347838</v>
      </c>
    </row>
    <row r="50" spans="1:9" ht="15.5" x14ac:dyDescent="0.35">
      <c r="A50" s="12"/>
      <c r="G50" s="6"/>
      <c r="H50" s="24"/>
    </row>
    <row r="51" spans="1:9" x14ac:dyDescent="0.35">
      <c r="H51" s="24" t="s">
        <v>21</v>
      </c>
    </row>
    <row r="52" spans="1:9" ht="15.5" x14ac:dyDescent="0.35">
      <c r="A52" s="12" t="s">
        <v>59</v>
      </c>
      <c r="B52" s="6">
        <f>(B9+B15+B16+B24+B44+B45)</f>
        <v>1598.0476087825809</v>
      </c>
      <c r="G52" s="6">
        <f>(G36+G38+G39+G46)</f>
        <v>16488.466627641417</v>
      </c>
      <c r="H52" s="23">
        <f>(G52/G49)*100</f>
        <v>43.890565611943174</v>
      </c>
    </row>
    <row r="53" spans="1:9" x14ac:dyDescent="0.35">
      <c r="H53" s="24"/>
    </row>
    <row r="54" spans="1:9" x14ac:dyDescent="0.35">
      <c r="A54" s="1" t="s">
        <v>49</v>
      </c>
      <c r="H54" s="23">
        <f>(G30+G32+G33+G34+G35+G36+G45)/G49*100</f>
        <v>59.985118093249476</v>
      </c>
    </row>
    <row r="56" spans="1:9" x14ac:dyDescent="0.35">
      <c r="A56" s="1" t="s">
        <v>50</v>
      </c>
      <c r="I56" s="2" t="s">
        <v>54</v>
      </c>
    </row>
    <row r="57" spans="1:9" x14ac:dyDescent="0.35">
      <c r="A57" t="s">
        <v>51</v>
      </c>
    </row>
    <row r="58" spans="1:9" x14ac:dyDescent="0.35">
      <c r="A58" t="s">
        <v>52</v>
      </c>
      <c r="I58" s="19">
        <f>(I44-'2015 Actual'!I42)*1.75</f>
        <v>5175.2214990160364</v>
      </c>
    </row>
    <row r="59" spans="1:9" x14ac:dyDescent="0.35">
      <c r="A59" t="s">
        <v>62</v>
      </c>
      <c r="I59" s="22">
        <f>(I44-'2015 Actual'!I42)*0.5</f>
        <v>1478.6347140045818</v>
      </c>
    </row>
    <row r="60" spans="1:9" x14ac:dyDescent="0.35">
      <c r="A60" t="s">
        <v>63</v>
      </c>
      <c r="I60" s="20">
        <v>1500</v>
      </c>
    </row>
    <row r="61" spans="1:9" x14ac:dyDescent="0.35">
      <c r="A61" t="s">
        <v>11</v>
      </c>
      <c r="I61" s="18">
        <f>SUM(I58:I60)</f>
        <v>8153.8562130206183</v>
      </c>
    </row>
  </sheetData>
  <mergeCells count="4">
    <mergeCell ref="F30:F31"/>
    <mergeCell ref="I30:I31"/>
    <mergeCell ref="A1:I2"/>
    <mergeCell ref="A3:I3"/>
  </mergeCells>
  <pageMargins left="0.25" right="0.25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7"/>
  <sheetViews>
    <sheetView tabSelected="1" zoomScaleNormal="100" workbookViewId="0">
      <selection activeCell="I26" sqref="I26"/>
    </sheetView>
  </sheetViews>
  <sheetFormatPr defaultRowHeight="14.5" x14ac:dyDescent="0.35"/>
  <cols>
    <col min="1" max="1" width="52.7265625" customWidth="1"/>
    <col min="2" max="2" width="17.54296875" customWidth="1"/>
    <col min="3" max="4" width="18.1796875" customWidth="1"/>
  </cols>
  <sheetData>
    <row r="1" spans="1:5" x14ac:dyDescent="0.35">
      <c r="A1" s="43" t="s">
        <v>89</v>
      </c>
      <c r="B1" s="45"/>
      <c r="C1" s="45"/>
      <c r="D1" s="45"/>
    </row>
    <row r="2" spans="1:5" x14ac:dyDescent="0.35">
      <c r="A2" s="45"/>
      <c r="B2" s="45"/>
      <c r="C2" s="45"/>
      <c r="D2" s="45"/>
    </row>
    <row r="4" spans="1:5" x14ac:dyDescent="0.35">
      <c r="B4" s="2" t="s">
        <v>66</v>
      </c>
      <c r="C4" s="2" t="s">
        <v>67</v>
      </c>
      <c r="D4" s="2" t="s">
        <v>68</v>
      </c>
    </row>
    <row r="5" spans="1:5" x14ac:dyDescent="0.35">
      <c r="A5" t="s">
        <v>70</v>
      </c>
      <c r="B5" s="2">
        <v>37567</v>
      </c>
      <c r="C5" s="2">
        <v>37567</v>
      </c>
      <c r="D5" s="2">
        <v>37567</v>
      </c>
      <c r="E5" s="28"/>
    </row>
    <row r="6" spans="1:5" x14ac:dyDescent="0.35">
      <c r="A6" t="s">
        <v>69</v>
      </c>
      <c r="B6" s="28">
        <v>6729</v>
      </c>
      <c r="C6" s="28">
        <v>6729</v>
      </c>
      <c r="D6" s="28">
        <v>6729</v>
      </c>
      <c r="E6" s="28"/>
    </row>
    <row r="7" spans="1:5" x14ac:dyDescent="0.35">
      <c r="A7" t="s">
        <v>71</v>
      </c>
      <c r="B7" s="28"/>
      <c r="C7" s="28"/>
      <c r="D7" s="28"/>
      <c r="E7" s="28"/>
    </row>
    <row r="8" spans="1:5" x14ac:dyDescent="0.35">
      <c r="A8" t="s">
        <v>73</v>
      </c>
      <c r="B8" s="28">
        <v>0</v>
      </c>
      <c r="C8" s="28">
        <v>563.5</v>
      </c>
      <c r="D8" s="28">
        <v>0</v>
      </c>
      <c r="E8" s="28"/>
    </row>
    <row r="9" spans="1:5" x14ac:dyDescent="0.35">
      <c r="A9" t="s">
        <v>74</v>
      </c>
      <c r="B9" s="28">
        <v>2509</v>
      </c>
      <c r="C9" s="28">
        <v>2509</v>
      </c>
      <c r="D9" s="28">
        <v>3275</v>
      </c>
      <c r="E9" s="28"/>
    </row>
    <row r="10" spans="1:5" x14ac:dyDescent="0.35">
      <c r="A10" t="s">
        <v>72</v>
      </c>
      <c r="B10" s="28">
        <v>247</v>
      </c>
      <c r="C10" s="28">
        <v>613</v>
      </c>
      <c r="D10" s="28">
        <v>247</v>
      </c>
      <c r="E10" s="28"/>
    </row>
    <row r="11" spans="1:5" x14ac:dyDescent="0.35">
      <c r="B11" s="28"/>
      <c r="C11" s="28"/>
      <c r="D11" s="28"/>
      <c r="E11" s="28"/>
    </row>
    <row r="12" spans="1:5" x14ac:dyDescent="0.35">
      <c r="A12" t="s">
        <v>76</v>
      </c>
      <c r="B12" s="28" t="s">
        <v>75</v>
      </c>
      <c r="C12" s="28" t="s">
        <v>75</v>
      </c>
      <c r="D12" s="28" t="s">
        <v>75</v>
      </c>
      <c r="E12" s="28"/>
    </row>
    <row r="13" spans="1:5" x14ac:dyDescent="0.35">
      <c r="A13" t="s">
        <v>85</v>
      </c>
      <c r="B13" s="27">
        <f>(140/1.2)*(41.868/17)</f>
        <v>287.32941176470592</v>
      </c>
      <c r="C13" s="27">
        <f>(140/1.2)*(41.868/17)</f>
        <v>287.32941176470592</v>
      </c>
      <c r="D13" s="27">
        <f>(140/1.2)*(41.868/17)</f>
        <v>287.32941176470592</v>
      </c>
      <c r="E13" s="28"/>
    </row>
    <row r="14" spans="1:5" x14ac:dyDescent="0.35">
      <c r="A14" t="s">
        <v>86</v>
      </c>
      <c r="B14" s="27">
        <f>((0.68/0.8)/0.9)*(41.868/0.1055)</f>
        <v>374.80568720379148</v>
      </c>
      <c r="C14" s="27">
        <f>((0.68/0.8)/0.9)*(41.868/0.1055)</f>
        <v>374.80568720379148</v>
      </c>
      <c r="D14" s="27">
        <f>((0.68/0.8)/0.9)*(41.868/0.1055)</f>
        <v>374.80568720379148</v>
      </c>
      <c r="E14" s="28"/>
    </row>
    <row r="15" spans="1:5" x14ac:dyDescent="0.35">
      <c r="A15" t="s">
        <v>91</v>
      </c>
      <c r="B15" s="27">
        <f>(6.68*41.868)</f>
        <v>279.67824000000002</v>
      </c>
      <c r="C15" s="27">
        <f t="shared" ref="C15:D15" si="0">(6.68*41.868)</f>
        <v>279.67824000000002</v>
      </c>
      <c r="D15" s="27">
        <f t="shared" si="0"/>
        <v>279.67824000000002</v>
      </c>
      <c r="E15" s="28"/>
    </row>
    <row r="17" spans="1:4" x14ac:dyDescent="0.35">
      <c r="A17" t="s">
        <v>77</v>
      </c>
      <c r="B17" s="28" t="s">
        <v>54</v>
      </c>
      <c r="C17" s="28" t="s">
        <v>54</v>
      </c>
      <c r="D17" s="28" t="s">
        <v>54</v>
      </c>
    </row>
    <row r="18" spans="1:4" x14ac:dyDescent="0.35">
      <c r="A18" t="s">
        <v>78</v>
      </c>
      <c r="B18" s="28">
        <f>(B8*B13/1000)</f>
        <v>0</v>
      </c>
      <c r="C18" s="19">
        <f t="shared" ref="C18:D18" si="1">(C8*C13/1000)</f>
        <v>161.91012352941181</v>
      </c>
      <c r="D18" s="19">
        <f t="shared" si="1"/>
        <v>0</v>
      </c>
    </row>
    <row r="19" spans="1:4" x14ac:dyDescent="0.35">
      <c r="A19" t="s">
        <v>79</v>
      </c>
      <c r="B19" s="19">
        <f t="shared" ref="B19:D20" si="2">(B9*B14/1000)</f>
        <v>940.38746919431276</v>
      </c>
      <c r="C19" s="19">
        <f t="shared" si="2"/>
        <v>940.38746919431276</v>
      </c>
      <c r="D19" s="19">
        <f t="shared" si="2"/>
        <v>1227.4886255924171</v>
      </c>
    </row>
    <row r="20" spans="1:4" x14ac:dyDescent="0.35">
      <c r="A20" t="s">
        <v>80</v>
      </c>
      <c r="B20" s="20">
        <f t="shared" si="2"/>
        <v>69.080525280000003</v>
      </c>
      <c r="C20" s="20">
        <f t="shared" si="2"/>
        <v>171.44276112</v>
      </c>
      <c r="D20" s="20">
        <f t="shared" si="2"/>
        <v>69.080525280000003</v>
      </c>
    </row>
    <row r="21" spans="1:4" x14ac:dyDescent="0.35">
      <c r="A21" t="s">
        <v>11</v>
      </c>
      <c r="B21" s="19">
        <f>SUM(B18:B20)</f>
        <v>1009.4679944743127</v>
      </c>
      <c r="C21" s="19">
        <f t="shared" ref="C21:D21" si="3">SUM(C18:C20)</f>
        <v>1273.7403538437247</v>
      </c>
      <c r="D21" s="19">
        <f t="shared" si="3"/>
        <v>1296.5691508724171</v>
      </c>
    </row>
    <row r="23" spans="1:4" x14ac:dyDescent="0.35">
      <c r="A23" t="s">
        <v>81</v>
      </c>
      <c r="B23" s="28">
        <v>10770</v>
      </c>
      <c r="C23" s="28">
        <v>7206</v>
      </c>
      <c r="D23" s="28">
        <v>8154</v>
      </c>
    </row>
    <row r="25" spans="1:4" x14ac:dyDescent="0.35">
      <c r="A25" t="s">
        <v>90</v>
      </c>
    </row>
    <row r="26" spans="1:4" x14ac:dyDescent="0.35">
      <c r="A26" t="s">
        <v>87</v>
      </c>
      <c r="C26" s="28">
        <f>((282.5*3)*0.8+91+137)</f>
        <v>906</v>
      </c>
    </row>
    <row r="27" spans="1:4" x14ac:dyDescent="0.35">
      <c r="A27" t="s">
        <v>88</v>
      </c>
      <c r="D27" s="19">
        <f>(432+445)*(1-0.85)</f>
        <v>131.55000000000001</v>
      </c>
    </row>
    <row r="28" spans="1:4" x14ac:dyDescent="0.35">
      <c r="D28" s="19"/>
    </row>
    <row r="29" spans="1:4" x14ac:dyDescent="0.35">
      <c r="A29" t="s">
        <v>92</v>
      </c>
      <c r="B29" s="35">
        <v>0.49</v>
      </c>
      <c r="C29" s="35">
        <v>0.6</v>
      </c>
      <c r="D29" s="34">
        <v>0.6</v>
      </c>
    </row>
    <row r="30" spans="1:4" x14ac:dyDescent="0.35">
      <c r="D30" s="19"/>
    </row>
    <row r="31" spans="1:4" x14ac:dyDescent="0.35">
      <c r="A31" t="s">
        <v>93</v>
      </c>
      <c r="B31" s="33" t="s">
        <v>94</v>
      </c>
      <c r="C31" s="33" t="s">
        <v>95</v>
      </c>
      <c r="D31" s="19" t="s">
        <v>96</v>
      </c>
    </row>
    <row r="32" spans="1:4" x14ac:dyDescent="0.35">
      <c r="A32" t="s">
        <v>97</v>
      </c>
      <c r="B32" s="33" t="s">
        <v>95</v>
      </c>
      <c r="C32" s="33" t="s">
        <v>96</v>
      </c>
      <c r="D32" s="19" t="s">
        <v>96</v>
      </c>
    </row>
    <row r="33" spans="1:4" x14ac:dyDescent="0.35">
      <c r="A33" t="s">
        <v>98</v>
      </c>
      <c r="B33" s="33" t="s">
        <v>95</v>
      </c>
      <c r="C33" s="33" t="s">
        <v>96</v>
      </c>
      <c r="D33" s="19" t="s">
        <v>94</v>
      </c>
    </row>
    <row r="35" spans="1:4" x14ac:dyDescent="0.35">
      <c r="A35" s="29" t="s">
        <v>82</v>
      </c>
    </row>
    <row r="36" spans="1:4" x14ac:dyDescent="0.35">
      <c r="A36" s="29" t="s">
        <v>83</v>
      </c>
    </row>
    <row r="37" spans="1:4" x14ac:dyDescent="0.35">
      <c r="A37" s="29" t="s">
        <v>84</v>
      </c>
    </row>
  </sheetData>
  <mergeCells count="1">
    <mergeCell ref="A1:D2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2015 Actual</vt:lpstr>
      <vt:lpstr>2020 Outlook</vt:lpstr>
      <vt:lpstr>2030 Base Case </vt:lpstr>
      <vt:lpstr>2030 High Biomass Case</vt:lpstr>
      <vt:lpstr>2030 Cork CCS Case</vt:lpstr>
      <vt:lpstr>2030 Summary</vt:lpstr>
      <vt:lpstr>'2015 Actual'!Print_Area</vt:lpstr>
      <vt:lpstr>'2030 High Biomass Case'!Print_Area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GDuggan</dc:creator>
  <cp:lastModifiedBy>Audio Visual Team</cp:lastModifiedBy>
  <cp:lastPrinted>2017-01-18T10:27:36Z</cp:lastPrinted>
  <dcterms:created xsi:type="dcterms:W3CDTF">2016-07-16T08:15:06Z</dcterms:created>
  <dcterms:modified xsi:type="dcterms:W3CDTF">2021-05-15T13:12:06Z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