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\Documents\Academy of Engineering\2030 Energy and Climate Framework\"/>
    </mc:Choice>
  </mc:AlternateContent>
  <bookViews>
    <workbookView xWindow="0" yWindow="0" windowWidth="21600" windowHeight="8385" activeTab="5"/>
  </bookViews>
  <sheets>
    <sheet name="Sheet1" sheetId="1" r:id="rId1"/>
    <sheet name="Chart1" sheetId="5" r:id="rId2"/>
    <sheet name="Sheet2" sheetId="2" r:id="rId3"/>
    <sheet name="Sheet3" sheetId="3" r:id="rId4"/>
    <sheet name="Sheet4" sheetId="4" r:id="rId5"/>
    <sheet name="Sheet5" sheetId="6" r:id="rId6"/>
    <sheet name="Sheet6" sheetId="7" r:id="rId7"/>
  </sheets>
  <calcPr calcId="171027"/>
</workbook>
</file>

<file path=xl/calcChain.xml><?xml version="1.0" encoding="utf-8"?>
<calcChain xmlns="http://schemas.openxmlformats.org/spreadsheetml/2006/main">
  <c r="F44" i="6" l="1"/>
  <c r="B44" i="6" l="1"/>
  <c r="I60" i="6" l="1"/>
  <c r="G61" i="6" l="1"/>
  <c r="G59" i="6"/>
  <c r="H59" i="6" s="1"/>
  <c r="I59" i="6" s="1"/>
  <c r="G58" i="6"/>
  <c r="G57" i="6"/>
  <c r="G56" i="6"/>
  <c r="F49" i="6"/>
  <c r="F51" i="6" s="1"/>
  <c r="F56" i="6" s="1"/>
  <c r="F45" i="6"/>
  <c r="B45" i="6"/>
  <c r="B49" i="6"/>
  <c r="B51" i="6" s="1"/>
  <c r="B56" i="6" s="1"/>
  <c r="H56" i="6" l="1"/>
  <c r="C58" i="6"/>
  <c r="C56" i="6"/>
  <c r="C7" i="6"/>
  <c r="C8" i="6"/>
  <c r="C12" i="6"/>
  <c r="C6" i="6"/>
  <c r="C27" i="6"/>
  <c r="C18" i="6"/>
  <c r="C19" i="6"/>
  <c r="C20" i="6"/>
  <c r="C25" i="6"/>
  <c r="C26" i="6"/>
  <c r="B27" i="6"/>
  <c r="C17" i="6"/>
  <c r="I56" i="6" l="1"/>
  <c r="C15" i="2"/>
  <c r="D15" i="2"/>
  <c r="E15" i="2"/>
  <c r="F15" i="2"/>
  <c r="G15" i="2"/>
  <c r="H15" i="2"/>
  <c r="I15" i="2"/>
  <c r="B15" i="2"/>
  <c r="C9" i="2"/>
  <c r="D9" i="2"/>
  <c r="E9" i="2"/>
  <c r="F9" i="2"/>
  <c r="G9" i="2"/>
  <c r="H9" i="2"/>
  <c r="I9" i="2"/>
  <c r="B9" i="2"/>
  <c r="C61" i="6" l="1"/>
  <c r="D60" i="6"/>
  <c r="E60" i="6" s="1"/>
  <c r="C59" i="6"/>
  <c r="D59" i="6" s="1"/>
  <c r="E59" i="6" s="1"/>
  <c r="C57" i="6"/>
  <c r="D56" i="6" l="1"/>
  <c r="E56" i="6" s="1"/>
  <c r="B33" i="6"/>
  <c r="R82" i="1" l="1"/>
  <c r="L82" i="1"/>
  <c r="B35" i="6" l="1"/>
  <c r="B32" i="6"/>
  <c r="B31" i="6"/>
  <c r="B30" i="6"/>
  <c r="D18" i="6"/>
  <c r="D19" i="6"/>
  <c r="D20" i="6"/>
  <c r="D33" i="6" s="1"/>
  <c r="E33" i="6" s="1"/>
  <c r="D25" i="6"/>
  <c r="D26" i="6"/>
  <c r="D35" i="6" s="1"/>
  <c r="E35" i="6" s="1"/>
  <c r="D27" i="6"/>
  <c r="D17" i="6"/>
  <c r="D30" i="6" s="1"/>
  <c r="E30" i="6" s="1"/>
  <c r="D7" i="6"/>
  <c r="D8" i="6"/>
  <c r="D6" i="6"/>
  <c r="B12" i="6"/>
  <c r="D12" i="6" s="1"/>
  <c r="B57" i="6" l="1"/>
  <c r="F57" i="6"/>
  <c r="F58" i="6"/>
  <c r="H58" i="6" s="1"/>
  <c r="I58" i="6" s="1"/>
  <c r="B58" i="6"/>
  <c r="D58" i="6" s="1"/>
  <c r="E58" i="6" s="1"/>
  <c r="F61" i="6"/>
  <c r="H61" i="6" s="1"/>
  <c r="I61" i="6" s="1"/>
  <c r="B61" i="6"/>
  <c r="D61" i="6" s="1"/>
  <c r="E61" i="6" s="1"/>
  <c r="D57" i="6"/>
  <c r="E57" i="6" s="1"/>
  <c r="B34" i="6"/>
  <c r="B36" i="6" s="1"/>
  <c r="D13" i="6"/>
  <c r="D32" i="6"/>
  <c r="E32" i="6" s="1"/>
  <c r="D34" i="6"/>
  <c r="E34" i="6" s="1"/>
  <c r="D31" i="6"/>
  <c r="E31" i="6" s="1"/>
  <c r="B62" i="6" l="1"/>
  <c r="H57" i="6"/>
  <c r="F62" i="6"/>
  <c r="F64" i="6" s="1"/>
  <c r="D62" i="6"/>
  <c r="E62" i="6" s="1"/>
  <c r="B64" i="6"/>
  <c r="D36" i="6"/>
  <c r="E36" i="6" s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C70" i="1"/>
  <c r="C41" i="4"/>
  <c r="E41" i="4"/>
  <c r="F41" i="4"/>
  <c r="C23" i="4"/>
  <c r="E23" i="4"/>
  <c r="F23" i="4"/>
  <c r="B41" i="4"/>
  <c r="B23" i="4"/>
  <c r="E25" i="4" l="1"/>
  <c r="E43" i="4"/>
  <c r="F43" i="4"/>
  <c r="I57" i="6"/>
  <c r="H62" i="6"/>
  <c r="F25" i="4"/>
  <c r="D64" i="6"/>
  <c r="T68" i="1"/>
  <c r="T70" i="1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I62" i="6" l="1"/>
  <c r="H64" i="6"/>
  <c r="U68" i="1"/>
  <c r="U70" i="1" s="1"/>
  <c r="E39" i="1"/>
  <c r="E63" i="1" s="1"/>
  <c r="D39" i="1"/>
  <c r="D63" i="1" s="1"/>
  <c r="C39" i="1"/>
  <c r="C63" i="1" s="1"/>
  <c r="B39" i="1"/>
  <c r="B63" i="1" s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F59" i="1"/>
  <c r="V59" i="1" l="1"/>
  <c r="C71" i="2"/>
  <c r="D71" i="2"/>
  <c r="E71" i="2"/>
  <c r="F71" i="2"/>
  <c r="G71" i="2"/>
  <c r="G73" i="2" s="1"/>
  <c r="B71" i="2"/>
  <c r="C66" i="2"/>
  <c r="D66" i="2"/>
  <c r="E66" i="2"/>
  <c r="F66" i="2"/>
  <c r="G66" i="2"/>
  <c r="B66" i="2"/>
  <c r="Q59" i="2"/>
  <c r="Q66" i="2" s="1"/>
  <c r="V58" i="2"/>
  <c r="V59" i="2" s="1"/>
  <c r="V66" i="2" s="1"/>
  <c r="U58" i="2"/>
  <c r="U59" i="2" s="1"/>
  <c r="U66" i="2" s="1"/>
  <c r="T58" i="2"/>
  <c r="T60" i="2" s="1"/>
  <c r="T71" i="2" s="1"/>
  <c r="S58" i="2"/>
  <c r="S59" i="2" s="1"/>
  <c r="S66" i="2" s="1"/>
  <c r="Q58" i="2"/>
  <c r="Q60" i="2" s="1"/>
  <c r="Q71" i="2" s="1"/>
  <c r="P58" i="2"/>
  <c r="P60" i="2" s="1"/>
  <c r="P71" i="2" s="1"/>
  <c r="W57" i="2"/>
  <c r="W58" i="2" s="1"/>
  <c r="W59" i="2" s="1"/>
  <c r="W66" i="2" s="1"/>
  <c r="R57" i="2"/>
  <c r="R58" i="2" s="1"/>
  <c r="R60" i="2" s="1"/>
  <c r="R71" i="2" s="1"/>
  <c r="R73" i="2" s="1"/>
  <c r="O57" i="2"/>
  <c r="O58" i="2" s="1"/>
  <c r="O59" i="2" s="1"/>
  <c r="O66" i="2" s="1"/>
  <c r="N57" i="2"/>
  <c r="N58" i="2" s="1"/>
  <c r="N60" i="2" s="1"/>
  <c r="N71" i="2" s="1"/>
  <c r="N73" i="2" s="1"/>
  <c r="M57" i="2"/>
  <c r="M58" i="2" s="1"/>
  <c r="M60" i="2" s="1"/>
  <c r="M71" i="2" s="1"/>
  <c r="L57" i="2"/>
  <c r="L58" i="2" s="1"/>
  <c r="K57" i="2"/>
  <c r="K58" i="2" s="1"/>
  <c r="K59" i="2" s="1"/>
  <c r="K66" i="2" s="1"/>
  <c r="J57" i="2"/>
  <c r="J58" i="2" s="1"/>
  <c r="J60" i="2" s="1"/>
  <c r="J71" i="2" s="1"/>
  <c r="J73" i="2" s="1"/>
  <c r="I57" i="2"/>
  <c r="I58" i="2" s="1"/>
  <c r="I60" i="2" s="1"/>
  <c r="I71" i="2" s="1"/>
  <c r="H57" i="2"/>
  <c r="H58" i="2" s="1"/>
  <c r="D51" i="2"/>
  <c r="C51" i="2"/>
  <c r="G50" i="2"/>
  <c r="G51" i="2" s="1"/>
  <c r="F50" i="2"/>
  <c r="W44" i="2"/>
  <c r="W48" i="2" s="1"/>
  <c r="W50" i="2" s="1"/>
  <c r="W51" i="2" s="1"/>
  <c r="V44" i="2"/>
  <c r="V48" i="2" s="1"/>
  <c r="V50" i="2" s="1"/>
  <c r="V51" i="2" s="1"/>
  <c r="U44" i="2"/>
  <c r="U48" i="2" s="1"/>
  <c r="U50" i="2" s="1"/>
  <c r="U51" i="2" s="1"/>
  <c r="T44" i="2"/>
  <c r="T48" i="2" s="1"/>
  <c r="T50" i="2" s="1"/>
  <c r="T51" i="2" s="1"/>
  <c r="S44" i="2"/>
  <c r="S48" i="2" s="1"/>
  <c r="S50" i="2" s="1"/>
  <c r="S51" i="2" s="1"/>
  <c r="R44" i="2"/>
  <c r="R48" i="2" s="1"/>
  <c r="R50" i="2" s="1"/>
  <c r="R51" i="2" s="1"/>
  <c r="Q44" i="2"/>
  <c r="Q48" i="2" s="1"/>
  <c r="Q50" i="2" s="1"/>
  <c r="Q51" i="2" s="1"/>
  <c r="P44" i="2"/>
  <c r="P48" i="2" s="1"/>
  <c r="P50" i="2" s="1"/>
  <c r="P51" i="2" s="1"/>
  <c r="O44" i="2"/>
  <c r="O48" i="2" s="1"/>
  <c r="O50" i="2" s="1"/>
  <c r="O51" i="2" s="1"/>
  <c r="N44" i="2"/>
  <c r="N48" i="2" s="1"/>
  <c r="N50" i="2" s="1"/>
  <c r="N51" i="2" s="1"/>
  <c r="M44" i="2"/>
  <c r="M48" i="2" s="1"/>
  <c r="M50" i="2" s="1"/>
  <c r="M51" i="2" s="1"/>
  <c r="L44" i="2"/>
  <c r="L48" i="2" s="1"/>
  <c r="L50" i="2" s="1"/>
  <c r="L51" i="2" s="1"/>
  <c r="K44" i="2"/>
  <c r="K48" i="2" s="1"/>
  <c r="K50" i="2" s="1"/>
  <c r="K51" i="2" s="1"/>
  <c r="J44" i="2"/>
  <c r="J48" i="2" s="1"/>
  <c r="J50" i="2" s="1"/>
  <c r="J51" i="2" s="1"/>
  <c r="I44" i="2"/>
  <c r="I48" i="2" s="1"/>
  <c r="I50" i="2" s="1"/>
  <c r="I51" i="2" s="1"/>
  <c r="H44" i="2"/>
  <c r="H48" i="2" s="1"/>
  <c r="H50" i="2" s="1"/>
  <c r="H51" i="2" s="1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W30" i="2"/>
  <c r="W31" i="2" s="1"/>
  <c r="V30" i="2"/>
  <c r="V31" i="2" s="1"/>
  <c r="U30" i="2"/>
  <c r="U31" i="2" s="1"/>
  <c r="T30" i="2"/>
  <c r="T31" i="2" s="1"/>
  <c r="S30" i="2"/>
  <c r="S31" i="2" s="1"/>
  <c r="R30" i="2"/>
  <c r="R31" i="2" s="1"/>
  <c r="Q30" i="2"/>
  <c r="Q31" i="2" s="1"/>
  <c r="P30" i="2"/>
  <c r="P31" i="2" s="1"/>
  <c r="O30" i="2"/>
  <c r="O31" i="2" s="1"/>
  <c r="N30" i="2"/>
  <c r="N31" i="2" s="1"/>
  <c r="M30" i="2"/>
  <c r="M31" i="2" s="1"/>
  <c r="L30" i="2"/>
  <c r="L31" i="2" s="1"/>
  <c r="K30" i="2"/>
  <c r="K31" i="2" s="1"/>
  <c r="J30" i="2"/>
  <c r="J31" i="2" s="1"/>
  <c r="I30" i="2"/>
  <c r="I31" i="2" s="1"/>
  <c r="H30" i="2"/>
  <c r="H31" i="2" s="1"/>
  <c r="G30" i="2"/>
  <c r="G31" i="2" s="1"/>
  <c r="F30" i="2"/>
  <c r="F31" i="2" s="1"/>
  <c r="E30" i="2"/>
  <c r="E31" i="2" s="1"/>
  <c r="D30" i="2"/>
  <c r="D31" i="2" s="1"/>
  <c r="C30" i="2"/>
  <c r="C31" i="2" s="1"/>
  <c r="C70" i="2" s="1"/>
  <c r="B30" i="2"/>
  <c r="B31" i="2" s="1"/>
  <c r="B70" i="2" s="1"/>
  <c r="B73" i="2" s="1"/>
  <c r="W25" i="2"/>
  <c r="W26" i="2" s="1"/>
  <c r="W65" i="2" s="1"/>
  <c r="V25" i="2"/>
  <c r="V26" i="2" s="1"/>
  <c r="V65" i="2" s="1"/>
  <c r="U25" i="2"/>
  <c r="U26" i="2" s="1"/>
  <c r="U65" i="2" s="1"/>
  <c r="T25" i="2"/>
  <c r="T26" i="2" s="1"/>
  <c r="T65" i="2" s="1"/>
  <c r="S25" i="2"/>
  <c r="S26" i="2" s="1"/>
  <c r="S65" i="2" s="1"/>
  <c r="R25" i="2"/>
  <c r="R26" i="2" s="1"/>
  <c r="R65" i="2" s="1"/>
  <c r="Q25" i="2"/>
  <c r="Q26" i="2" s="1"/>
  <c r="Q65" i="2" s="1"/>
  <c r="P25" i="2"/>
  <c r="P26" i="2" s="1"/>
  <c r="P65" i="2" s="1"/>
  <c r="O25" i="2"/>
  <c r="O26" i="2" s="1"/>
  <c r="O65" i="2" s="1"/>
  <c r="N25" i="2"/>
  <c r="N26" i="2" s="1"/>
  <c r="N65" i="2" s="1"/>
  <c r="M25" i="2"/>
  <c r="M26" i="2" s="1"/>
  <c r="M65" i="2" s="1"/>
  <c r="L25" i="2"/>
  <c r="L26" i="2" s="1"/>
  <c r="L65" i="2" s="1"/>
  <c r="K25" i="2"/>
  <c r="K26" i="2" s="1"/>
  <c r="K65" i="2" s="1"/>
  <c r="K67" i="2" s="1"/>
  <c r="J25" i="2"/>
  <c r="J26" i="2" s="1"/>
  <c r="J65" i="2" s="1"/>
  <c r="I25" i="2"/>
  <c r="I26" i="2" s="1"/>
  <c r="I65" i="2" s="1"/>
  <c r="H25" i="2"/>
  <c r="H26" i="2" s="1"/>
  <c r="H65" i="2" s="1"/>
  <c r="G25" i="2"/>
  <c r="G26" i="2" s="1"/>
  <c r="G65" i="2" s="1"/>
  <c r="F25" i="2"/>
  <c r="F26" i="2" s="1"/>
  <c r="F65" i="2" s="1"/>
  <c r="F67" i="2" s="1"/>
  <c r="E25" i="2"/>
  <c r="E26" i="2" s="1"/>
  <c r="E65" i="2" s="1"/>
  <c r="E67" i="2" s="1"/>
  <c r="D25" i="2"/>
  <c r="D26" i="2" s="1"/>
  <c r="D65" i="2" s="1"/>
  <c r="C25" i="2"/>
  <c r="C26" i="2" s="1"/>
  <c r="C65" i="2" s="1"/>
  <c r="B25" i="2"/>
  <c r="B26" i="2" s="1"/>
  <c r="B65" i="2" s="1"/>
  <c r="C67" i="2" l="1"/>
  <c r="G67" i="2"/>
  <c r="G75" i="2" s="1"/>
  <c r="J59" i="2"/>
  <c r="J66" i="2" s="1"/>
  <c r="J67" i="2" s="1"/>
  <c r="J75" i="2" s="1"/>
  <c r="V60" i="2"/>
  <c r="V71" i="2" s="1"/>
  <c r="V73" i="2" s="1"/>
  <c r="Q67" i="2"/>
  <c r="K60" i="2"/>
  <c r="K71" i="2" s="1"/>
  <c r="K73" i="2" s="1"/>
  <c r="K75" i="2" s="1"/>
  <c r="U67" i="2"/>
  <c r="B67" i="2"/>
  <c r="B75" i="2" s="1"/>
  <c r="V67" i="2"/>
  <c r="P59" i="2"/>
  <c r="P66" i="2" s="1"/>
  <c r="P67" i="2" s="1"/>
  <c r="D67" i="2"/>
  <c r="O60" i="2"/>
  <c r="O71" i="2" s="1"/>
  <c r="O73" i="2" s="1"/>
  <c r="N59" i="2"/>
  <c r="N66" i="2" s="1"/>
  <c r="N67" i="2" s="1"/>
  <c r="N75" i="2" s="1"/>
  <c r="U60" i="2"/>
  <c r="U71" i="2" s="1"/>
  <c r="U73" i="2" s="1"/>
  <c r="I59" i="2"/>
  <c r="I66" i="2" s="1"/>
  <c r="I67" i="2" s="1"/>
  <c r="I75" i="2" s="1"/>
  <c r="W60" i="2"/>
  <c r="W71" i="2" s="1"/>
  <c r="W73" i="2" s="1"/>
  <c r="M59" i="2"/>
  <c r="M66" i="2" s="1"/>
  <c r="M67" i="2" s="1"/>
  <c r="C73" i="2"/>
  <c r="C75" i="2" s="1"/>
  <c r="I73" i="2"/>
  <c r="Q73" i="2"/>
  <c r="Q75" i="2" s="1"/>
  <c r="H60" i="2"/>
  <c r="H71" i="2" s="1"/>
  <c r="H73" i="2" s="1"/>
  <c r="H59" i="2"/>
  <c r="H66" i="2" s="1"/>
  <c r="H67" i="2" s="1"/>
  <c r="H75" i="2" s="1"/>
  <c r="L60" i="2"/>
  <c r="L71" i="2" s="1"/>
  <c r="L59" i="2"/>
  <c r="L66" i="2" s="1"/>
  <c r="L67" i="2" s="1"/>
  <c r="S60" i="2"/>
  <c r="S71" i="2" s="1"/>
  <c r="S73" i="2" s="1"/>
  <c r="R59" i="2"/>
  <c r="R66" i="2" s="1"/>
  <c r="R67" i="2" s="1"/>
  <c r="R75" i="2" s="1"/>
  <c r="M73" i="2"/>
  <c r="T73" i="2"/>
  <c r="D73" i="2"/>
  <c r="O67" i="2"/>
  <c r="O75" i="2" s="1"/>
  <c r="S67" i="2"/>
  <c r="W67" i="2"/>
  <c r="W75" i="2" s="1"/>
  <c r="P73" i="2"/>
  <c r="P75" i="2" s="1"/>
  <c r="T59" i="2"/>
  <c r="T66" i="2" s="1"/>
  <c r="T67" i="2" s="1"/>
  <c r="T75" i="2" s="1"/>
  <c r="F75" i="2"/>
  <c r="F51" i="2"/>
  <c r="E50" i="2"/>
  <c r="E51" i="2" s="1"/>
  <c r="E72" i="2" s="1"/>
  <c r="E73" i="2" s="1"/>
  <c r="E75" i="2" s="1"/>
  <c r="F73" i="2"/>
  <c r="C30" i="1"/>
  <c r="C38" i="1" s="1"/>
  <c r="D30" i="1"/>
  <c r="D38" i="1" s="1"/>
  <c r="E30" i="1"/>
  <c r="E38" i="1" s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B30" i="1"/>
  <c r="B38" i="1" s="1"/>
  <c r="C10" i="1"/>
  <c r="C13" i="1" s="1"/>
  <c r="D10" i="1"/>
  <c r="D13" i="1" s="1"/>
  <c r="E10" i="1"/>
  <c r="E13" i="1" s="1"/>
  <c r="F10" i="1"/>
  <c r="F13" i="1" s="1"/>
  <c r="G10" i="1"/>
  <c r="G13" i="1" s="1"/>
  <c r="H10" i="1"/>
  <c r="H13" i="1" s="1"/>
  <c r="I10" i="1"/>
  <c r="I13" i="1" s="1"/>
  <c r="J10" i="1"/>
  <c r="J13" i="1" s="1"/>
  <c r="K10" i="1"/>
  <c r="K13" i="1" s="1"/>
  <c r="L10" i="1"/>
  <c r="L13" i="1" s="1"/>
  <c r="M10" i="1"/>
  <c r="M13" i="1" s="1"/>
  <c r="N10" i="1"/>
  <c r="N13" i="1" s="1"/>
  <c r="O10" i="1"/>
  <c r="O13" i="1" s="1"/>
  <c r="P10" i="1"/>
  <c r="P13" i="1" s="1"/>
  <c r="Q10" i="1"/>
  <c r="Q13" i="1" s="1"/>
  <c r="R10" i="1"/>
  <c r="R13" i="1" s="1"/>
  <c r="S10" i="1"/>
  <c r="S13" i="1" s="1"/>
  <c r="T10" i="1"/>
  <c r="T13" i="1" s="1"/>
  <c r="U10" i="1"/>
  <c r="U13" i="1" s="1"/>
  <c r="B10" i="1"/>
  <c r="B13" i="1" s="1"/>
  <c r="U75" i="2" l="1"/>
  <c r="D75" i="2"/>
  <c r="V75" i="2"/>
  <c r="S62" i="1"/>
  <c r="S21" i="1"/>
  <c r="O62" i="1"/>
  <c r="O21" i="1"/>
  <c r="G62" i="1"/>
  <c r="G21" i="1"/>
  <c r="R62" i="1"/>
  <c r="R21" i="1"/>
  <c r="J62" i="1"/>
  <c r="J21" i="1"/>
  <c r="F62" i="1"/>
  <c r="F21" i="1"/>
  <c r="Q62" i="1"/>
  <c r="Q21" i="1"/>
  <c r="M62" i="1"/>
  <c r="M21" i="1"/>
  <c r="I62" i="1"/>
  <c r="I21" i="1"/>
  <c r="E62" i="1"/>
  <c r="E21" i="1"/>
  <c r="E48" i="1"/>
  <c r="E79" i="1"/>
  <c r="K62" i="1"/>
  <c r="K21" i="1"/>
  <c r="K23" i="1" s="1"/>
  <c r="K52" i="1" s="1"/>
  <c r="K53" i="1" s="1"/>
  <c r="K39" i="1" s="1"/>
  <c r="C62" i="1"/>
  <c r="C21" i="1"/>
  <c r="C48" i="1"/>
  <c r="C79" i="1"/>
  <c r="B62" i="1"/>
  <c r="B21" i="1"/>
  <c r="N62" i="1"/>
  <c r="N21" i="1"/>
  <c r="B48" i="1"/>
  <c r="B79" i="1"/>
  <c r="U62" i="1"/>
  <c r="U21" i="1"/>
  <c r="U23" i="1" s="1"/>
  <c r="U52" i="1" s="1"/>
  <c r="U53" i="1" s="1"/>
  <c r="U39" i="1" s="1"/>
  <c r="U63" i="1" s="1"/>
  <c r="U64" i="1" s="1"/>
  <c r="T62" i="1"/>
  <c r="T21" i="1"/>
  <c r="P62" i="1"/>
  <c r="P21" i="1"/>
  <c r="L62" i="1"/>
  <c r="L21" i="1"/>
  <c r="H62" i="1"/>
  <c r="H21" i="1"/>
  <c r="D62" i="1"/>
  <c r="D21" i="1"/>
  <c r="D48" i="1"/>
  <c r="D79" i="1"/>
  <c r="S75" i="2"/>
  <c r="M75" i="2"/>
  <c r="L73" i="2"/>
  <c r="L75" i="2" s="1"/>
  <c r="T19" i="1"/>
  <c r="L19" i="1"/>
  <c r="D19" i="1"/>
  <c r="S19" i="1"/>
  <c r="K19" i="1"/>
  <c r="C19" i="1"/>
  <c r="B19" i="1"/>
  <c r="R19" i="1"/>
  <c r="N19" i="1"/>
  <c r="J19" i="1"/>
  <c r="F19" i="1"/>
  <c r="P19" i="1"/>
  <c r="H19" i="1"/>
  <c r="O19" i="1"/>
  <c r="G19" i="1"/>
  <c r="U19" i="1"/>
  <c r="Q19" i="1"/>
  <c r="M19" i="1"/>
  <c r="I19" i="1"/>
  <c r="E19" i="1"/>
  <c r="U65" i="1" l="1"/>
  <c r="U71" i="1" s="1"/>
  <c r="H23" i="1"/>
  <c r="H52" i="1" s="1"/>
  <c r="H53" i="1" s="1"/>
  <c r="H39" i="1" s="1"/>
  <c r="H38" i="1" s="1"/>
  <c r="F23" i="1"/>
  <c r="F52" i="1" s="1"/>
  <c r="F53" i="1" s="1"/>
  <c r="F39" i="1" s="1"/>
  <c r="F63" i="1" s="1"/>
  <c r="F64" i="1" s="1"/>
  <c r="F65" i="1" s="1"/>
  <c r="N23" i="1"/>
  <c r="N52" i="1" s="1"/>
  <c r="N53" i="1" s="1"/>
  <c r="N39" i="1" s="1"/>
  <c r="N38" i="1" s="1"/>
  <c r="U38" i="1"/>
  <c r="K38" i="1"/>
  <c r="K63" i="1"/>
  <c r="K64" i="1" s="1"/>
  <c r="K65" i="1" s="1"/>
  <c r="M23" i="1"/>
  <c r="M52" i="1" s="1"/>
  <c r="M53" i="1" s="1"/>
  <c r="M39" i="1" s="1"/>
  <c r="O23" i="1"/>
  <c r="O52" i="1" s="1"/>
  <c r="O53" i="1" s="1"/>
  <c r="O39" i="1" s="1"/>
  <c r="L23" i="1"/>
  <c r="L52" i="1" s="1"/>
  <c r="L53" i="1" s="1"/>
  <c r="L39" i="1" s="1"/>
  <c r="P23" i="1"/>
  <c r="P52" i="1" s="1"/>
  <c r="P53" i="1" s="1"/>
  <c r="P39" i="1" s="1"/>
  <c r="J23" i="1"/>
  <c r="J52" i="1" s="1"/>
  <c r="J53" i="1" s="1"/>
  <c r="J39" i="1" s="1"/>
  <c r="R23" i="1"/>
  <c r="R52" i="1" s="1"/>
  <c r="R53" i="1" s="1"/>
  <c r="R39" i="1" s="1"/>
  <c r="S23" i="1"/>
  <c r="S52" i="1" s="1"/>
  <c r="S53" i="1" s="1"/>
  <c r="S39" i="1" s="1"/>
  <c r="I23" i="1"/>
  <c r="I52" i="1" s="1"/>
  <c r="I53" i="1" s="1"/>
  <c r="I39" i="1" s="1"/>
  <c r="Q23" i="1"/>
  <c r="Q52" i="1" s="1"/>
  <c r="Q53" i="1" s="1"/>
  <c r="Q39" i="1" s="1"/>
  <c r="G23" i="1"/>
  <c r="G52" i="1" s="1"/>
  <c r="G53" i="1" s="1"/>
  <c r="G39" i="1" s="1"/>
  <c r="T23" i="1"/>
  <c r="T52" i="1" s="1"/>
  <c r="T53" i="1" s="1"/>
  <c r="T39" i="1" s="1"/>
  <c r="B64" i="1"/>
  <c r="B65" i="1" s="1"/>
  <c r="C64" i="1"/>
  <c r="C65" i="1" s="1"/>
  <c r="C71" i="1" s="1"/>
  <c r="D64" i="1"/>
  <c r="D65" i="1" s="1"/>
  <c r="E64" i="1"/>
  <c r="H48" i="1" l="1"/>
  <c r="H79" i="1"/>
  <c r="K48" i="1"/>
  <c r="K79" i="1"/>
  <c r="E65" i="1"/>
  <c r="E71" i="1" s="1"/>
  <c r="H63" i="1"/>
  <c r="H64" i="1" s="1"/>
  <c r="H65" i="1" s="1"/>
  <c r="U48" i="1"/>
  <c r="U79" i="1"/>
  <c r="N48" i="1"/>
  <c r="N79" i="1"/>
  <c r="F38" i="1"/>
  <c r="N63" i="1"/>
  <c r="N64" i="1" s="1"/>
  <c r="D71" i="1"/>
  <c r="T38" i="1"/>
  <c r="T63" i="1"/>
  <c r="T64" i="1" s="1"/>
  <c r="T65" i="1" s="1"/>
  <c r="S38" i="1"/>
  <c r="S63" i="1"/>
  <c r="S64" i="1" s="1"/>
  <c r="S65" i="1" s="1"/>
  <c r="R38" i="1"/>
  <c r="R63" i="1"/>
  <c r="R64" i="1" s="1"/>
  <c r="R65" i="1" s="1"/>
  <c r="Q38" i="1"/>
  <c r="Q63" i="1"/>
  <c r="Q64" i="1" s="1"/>
  <c r="Q65" i="1" s="1"/>
  <c r="P38" i="1"/>
  <c r="P63" i="1"/>
  <c r="P64" i="1" s="1"/>
  <c r="P65" i="1" s="1"/>
  <c r="O38" i="1"/>
  <c r="O63" i="1"/>
  <c r="O64" i="1" s="1"/>
  <c r="O65" i="1" s="1"/>
  <c r="M38" i="1"/>
  <c r="M63" i="1"/>
  <c r="M64" i="1" s="1"/>
  <c r="M65" i="1" s="1"/>
  <c r="L38" i="1"/>
  <c r="L63" i="1"/>
  <c r="L64" i="1" s="1"/>
  <c r="L65" i="1" s="1"/>
  <c r="K71" i="1"/>
  <c r="J38" i="1"/>
  <c r="J63" i="1"/>
  <c r="J64" i="1" s="1"/>
  <c r="J65" i="1" s="1"/>
  <c r="I38" i="1"/>
  <c r="I63" i="1"/>
  <c r="I64" i="1" s="1"/>
  <c r="I65" i="1" s="1"/>
  <c r="H71" i="1"/>
  <c r="G38" i="1"/>
  <c r="G63" i="1"/>
  <c r="G64" i="1" s="1"/>
  <c r="F71" i="1"/>
  <c r="J48" i="1" l="1"/>
  <c r="J79" i="1"/>
  <c r="F48" i="1"/>
  <c r="F79" i="1"/>
  <c r="P48" i="1"/>
  <c r="P79" i="1"/>
  <c r="T48" i="1"/>
  <c r="T79" i="1"/>
  <c r="G65" i="1"/>
  <c r="G71" i="1" s="1"/>
  <c r="I48" i="1"/>
  <c r="I79" i="1"/>
  <c r="M48" i="1"/>
  <c r="M79" i="1"/>
  <c r="R48" i="1"/>
  <c r="R79" i="1"/>
  <c r="G48" i="1"/>
  <c r="G79" i="1"/>
  <c r="L48" i="1"/>
  <c r="L79" i="1"/>
  <c r="O48" i="1"/>
  <c r="O79" i="1"/>
  <c r="Q48" i="1"/>
  <c r="Q79" i="1"/>
  <c r="S48" i="1"/>
  <c r="S79" i="1"/>
  <c r="N65" i="1"/>
  <c r="N71" i="1" s="1"/>
  <c r="T71" i="1"/>
  <c r="S71" i="1"/>
  <c r="R71" i="1"/>
  <c r="Q71" i="1"/>
  <c r="P71" i="1"/>
  <c r="O71" i="1"/>
  <c r="M71" i="1"/>
  <c r="L71" i="1"/>
  <c r="J71" i="1"/>
  <c r="I71" i="1"/>
</calcChain>
</file>

<file path=xl/sharedStrings.xml><?xml version="1.0" encoding="utf-8"?>
<sst xmlns="http://schemas.openxmlformats.org/spreadsheetml/2006/main" count="268" uniqueCount="139">
  <si>
    <t>Road Private Car</t>
  </si>
  <si>
    <t>Public Passenger Service</t>
  </si>
  <si>
    <t>Rail</t>
  </si>
  <si>
    <t>Domestic Aviation</t>
  </si>
  <si>
    <t xml:space="preserve">Fuel Tourism </t>
  </si>
  <si>
    <t>Navigation</t>
  </si>
  <si>
    <t>Total</t>
  </si>
  <si>
    <t>Gasoline</t>
  </si>
  <si>
    <t>Diesel</t>
  </si>
  <si>
    <t>Hydrocarbon</t>
  </si>
  <si>
    <t>Biofuel</t>
  </si>
  <si>
    <t xml:space="preserve">  Cross Border</t>
  </si>
  <si>
    <t>Supply</t>
  </si>
  <si>
    <t>Demand</t>
  </si>
  <si>
    <t>Average Price Differential</t>
  </si>
  <si>
    <t>HGV</t>
  </si>
  <si>
    <t>Outward Freight Vehicles/Trailers</t>
  </si>
  <si>
    <t xml:space="preserve">Estimated % With Tractor Unit </t>
  </si>
  <si>
    <t xml:space="preserve">Assume 1000 litres Diesel Tourism /Tractor if Price Differential &gt; 10€c </t>
  </si>
  <si>
    <t>Passenger Car</t>
  </si>
  <si>
    <t xml:space="preserve">Assume 50 litres Fuel Tourism Car if Price Differential &gt;20€c </t>
  </si>
  <si>
    <t xml:space="preserve">  Gasoline</t>
  </si>
  <si>
    <t xml:space="preserve">  Diesel</t>
  </si>
  <si>
    <t xml:space="preserve">  Seaborne</t>
  </si>
  <si>
    <t xml:space="preserve"> Seabornel Passenger Cars</t>
  </si>
  <si>
    <t xml:space="preserve"> Seaborne HGV</t>
  </si>
  <si>
    <t>ktoe</t>
  </si>
  <si>
    <t>HGV &amp; LGV</t>
  </si>
  <si>
    <t>Weighted Avg Fuel Consumption of New Cars</t>
  </si>
  <si>
    <t>Petrol</t>
  </si>
  <si>
    <t xml:space="preserve">  Diesel                                                           litres/100km</t>
  </si>
  <si>
    <t xml:space="preserve">Ratio Diesel/Petrol                        </t>
  </si>
  <si>
    <t>Average</t>
  </si>
  <si>
    <t xml:space="preserve">Diesel Car Annual Milage                                    bnkm     </t>
  </si>
  <si>
    <t>Petrol Car Fuel Consumption                    million litres</t>
  </si>
  <si>
    <t xml:space="preserve">Petrol Car Annual Milage                                        bnkm      </t>
  </si>
  <si>
    <t>Average Fuel Consumption                      litres/100km</t>
  </si>
  <si>
    <t>Diesel Car Fuel Consumption                million litres</t>
  </si>
  <si>
    <t xml:space="preserve">  Petrol                                                             litres/100km</t>
  </si>
  <si>
    <t>Private Car Fuel Use</t>
  </si>
  <si>
    <t>Index</t>
  </si>
  <si>
    <t>Private Car Fuel Use vs GNP</t>
  </si>
  <si>
    <t xml:space="preserve">  Petrol                                                                      ktoe</t>
  </si>
  <si>
    <t xml:space="preserve">Total                                                                          ktoe  </t>
  </si>
  <si>
    <t xml:space="preserve">  Diesel                                                                     ktoe</t>
  </si>
  <si>
    <t>NI Diesel Imports by Sea</t>
  </si>
  <si>
    <t>Ireland's  Surface Transport Energy Balance  1996-2015</t>
  </si>
  <si>
    <t>Average Fuel Consumption                       litres/100km</t>
  </si>
  <si>
    <t>Ireland's Expenditure on  GNP at Constant Market Prices €m</t>
  </si>
  <si>
    <t>Q1</t>
  </si>
  <si>
    <t>Q2</t>
  </si>
  <si>
    <t>Q3</t>
  </si>
  <si>
    <t>Q4</t>
  </si>
  <si>
    <t>Year</t>
  </si>
  <si>
    <t>GNP at Constant Market Prices                                  €bn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</si>
  <si>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</si>
  <si>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</si>
  <si>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</si>
  <si>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</si>
  <si>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</si>
  <si>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</si>
  <si>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</si>
  <si>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</si>
  <si>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</si>
  <si>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</si>
  <si>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</si>
  <si>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</si>
  <si>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Ireland</t>
  </si>
  <si>
    <t>€/000l</t>
  </si>
  <si>
    <t>UK</t>
  </si>
  <si>
    <t>Tax incl Retail Fuel Prices</t>
  </si>
  <si>
    <t>Avg</t>
  </si>
  <si>
    <t>UK Price Penalty</t>
  </si>
  <si>
    <t>Index of GNP</t>
  </si>
  <si>
    <t>Private Car Fuel Use Index</t>
  </si>
  <si>
    <t>Petrol Demand</t>
  </si>
  <si>
    <t>Diesel Demand</t>
  </si>
  <si>
    <t>ktCO2</t>
  </si>
  <si>
    <t>Total Surface Transport</t>
  </si>
  <si>
    <t>%</t>
  </si>
  <si>
    <t>2030 Assumptions</t>
  </si>
  <si>
    <t>GNP Gowth</t>
  </si>
  <si>
    <t xml:space="preserve">  2014 &amp; 2015 5%p.a.</t>
  </si>
  <si>
    <t xml:space="preserve">  GNP 1ndex 2013 = 100</t>
  </si>
  <si>
    <t>Total Surface Transport 2030</t>
  </si>
  <si>
    <t>Electric Vehicles as % Passenger Cars 10%</t>
  </si>
  <si>
    <t>tCO2/toe</t>
  </si>
  <si>
    <t>As a % of 2015</t>
  </si>
  <si>
    <t>HGV+LGV Fuel Use</t>
  </si>
  <si>
    <t>HGV = LGV Fuel Consumption                        toe/Mtkm</t>
  </si>
  <si>
    <t xml:space="preserve">Road Freight                                                     </t>
  </si>
  <si>
    <t>Calculated Cross Border Fuel Tourism vs Cross Border Price Differential</t>
  </si>
  <si>
    <t>Northern Ireland Seaborne Transport fuel imports vs UK/Ireland Fuel Price Differential</t>
  </si>
  <si>
    <t xml:space="preserve">   Retail Price UK                                                               €c/litre</t>
  </si>
  <si>
    <t xml:space="preserve">   Retail Price Ireland                                                       €c/litre</t>
  </si>
  <si>
    <t xml:space="preserve">   Northern Ireland Seaborne Imports                                 kt</t>
  </si>
  <si>
    <t xml:space="preserve">  Price Differential                                                            €c/litre</t>
  </si>
  <si>
    <t>Fuel Tourism on RoRo Ferries</t>
  </si>
  <si>
    <t>NI Gasoline Imports by Sea                                                                                               kt</t>
  </si>
  <si>
    <t>Price Differential with RoI                                                                                    €c/litre</t>
  </si>
  <si>
    <t>Estimated Cross Border Imports by NI                                                                     kt</t>
  </si>
  <si>
    <t>Estimated Cross Border Imports by NI                                                               ktoe</t>
  </si>
  <si>
    <t xml:space="preserve">  Price Differential with RoI                                                                                  €c/litre</t>
  </si>
  <si>
    <t xml:space="preserve">  Loaded                                                                                                                                    '000</t>
  </si>
  <si>
    <t>Outward Number of Tractor Units                                                                           '000</t>
  </si>
  <si>
    <t>Total                                                                                                                                           '000</t>
  </si>
  <si>
    <t xml:space="preserve">  Empty                                                                                                                                       '000</t>
  </si>
  <si>
    <t xml:space="preserve">Resulting Diesel Tourism                                                                         million litres                                                              </t>
  </si>
  <si>
    <t xml:space="preserve">Resulting Diesel Tourism                                                                                            ktoe                                                             </t>
  </si>
  <si>
    <t>Outward Passenger Car Vehicles                                                                             '000</t>
  </si>
  <si>
    <t>Resulting Fuel Tourism                                                                               million litres</t>
  </si>
  <si>
    <t>Resulting Fuel Tourism                                                                                                  ktoe</t>
  </si>
  <si>
    <t xml:space="preserve">  Cross Border                                                                                                                     ktoe     </t>
  </si>
  <si>
    <t xml:space="preserve">  Seaborne                                                                                                                            ktoe</t>
  </si>
  <si>
    <t xml:space="preserve">Total                                                                                                                                        ktoe </t>
  </si>
  <si>
    <t xml:space="preserve">  Cross Border                                                                                                                   ktoe</t>
  </si>
  <si>
    <t xml:space="preserve">  Seaborne   Passenger Cars                                                                                   ktoe</t>
  </si>
  <si>
    <t>Overall                                                                                     ktoe</t>
  </si>
  <si>
    <t>Total                                                                                                                                      ktoe</t>
  </si>
  <si>
    <t xml:space="preserve">  Seaborne HGV                                                                                                               ktoe</t>
  </si>
  <si>
    <t>Road Freight                                                           Mtkm</t>
  </si>
  <si>
    <t xml:space="preserve">  2016 - 2030 </t>
  </si>
  <si>
    <t>2% p.a.</t>
  </si>
  <si>
    <t xml:space="preserve">  Passenger Car Fuel Demand Index </t>
  </si>
  <si>
    <t>Reduction of 6% on CO2 emissions from use of biofuels</t>
  </si>
  <si>
    <t xml:space="preserve">  GNP Index 2030 </t>
  </si>
  <si>
    <t xml:space="preserve">  General                                                                                                      Mtkm</t>
  </si>
  <si>
    <t xml:space="preserve">  Construction Materials                                                                       Mtkm</t>
  </si>
  <si>
    <t xml:space="preserve">  Total                                                                                                           Mtkm</t>
  </si>
  <si>
    <t>Road Freight Fuel Efficiency 2012                           0.0744 ktoe/Mtkm</t>
  </si>
  <si>
    <t>Road Freight Fuel  Efficiency Improvement 2012- 2030           10%</t>
  </si>
  <si>
    <t>2.5% p.a.</t>
  </si>
  <si>
    <t>Surface Transport Fuel Use &amp; Emissions 2015 &amp; Projections for 2030</t>
  </si>
  <si>
    <t>2030 Projections</t>
  </si>
  <si>
    <t>Fuel Tourism Estimates</t>
  </si>
  <si>
    <t>Overall Fuel Tourism Estimates</t>
  </si>
  <si>
    <t>CSO Data</t>
  </si>
  <si>
    <t>Annual</t>
  </si>
  <si>
    <t>Ireland/UK Road Transport Fuel Price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</si>
</sst>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1" fontId="4" fillId="0" borderId="0" xfId="0" applyNumberFormat="1" applyFont="1"/>
    <xf numFmtId="1" fontId="0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Font="1"/>
    <xf numFmtId="165" fontId="0" fillId="0" borderId="0" xfId="0" applyNumberFormat="1"/>
    <xf numFmtId="2" fontId="0" fillId="0" borderId="0" xfId="0" applyNumberFormat="1"/>
    <xf numFmtId="2" fontId="0" fillId="0" borderId="0" xfId="0" applyNumberFormat="1" applyFont="1"/>
    <xf numFmtId="0" fontId="0" fillId="2" borderId="0" xfId="0" applyFill="1"/>
    <xf numFmtId="1" fontId="0" fillId="2" borderId="0" xfId="0" applyNumberFormat="1" applyFill="1"/>
    <xf numFmtId="1" fontId="4" fillId="2" borderId="0" xfId="0" applyNumberFormat="1" applyFont="1" applyFill="1"/>
    <xf numFmtId="164" fontId="0" fillId="0" borderId="0" xfId="0" applyNumberFormat="1"/>
    <xf numFmtId="0" fontId="0" fillId="0" borderId="0" xfId="0" applyFill="1"/>
    <xf numFmtId="1" fontId="1" fillId="0" borderId="0" xfId="0" applyNumberFormat="1" applyFont="1"/>
    <xf numFmtId="164" fontId="0" fillId="3" borderId="0" xfId="0" applyNumberFormat="1" applyFill="1"/>
    <xf numFmtId="1" fontId="0" fillId="0" borderId="0" xfId="0" applyNumberFormat="1" applyAlignment="1">
      <alignment horizontal="right"/>
    </xf>
    <xf numFmtId="0" fontId="0" fillId="0" borderId="0" xfId="0" applyAlignment="1"/>
    <xf numFmtId="165" fontId="0" fillId="0" borderId="0" xfId="0" applyNumberFormat="1" applyFont="1"/>
    <xf numFmtId="166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/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 b="1"/>
              <a:t>Private Car Fuel Use Index Vs Index of GNP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Sheet1!$A$76</c:f>
              <c:strCache>
                <c:ptCount val="1"/>
                <c:pt idx="0">
                  <c:v>Private Car Fuel Use Index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975744162381544"/>
                  <c:y val="0.192409315258126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Sheet1!$C$70:$U$70</c:f>
              <c:numCache>
                <c:formatCode>0.0</c:formatCode>
                <c:ptCount val="19"/>
                <c:pt idx="0">
                  <c:v>62.692050768203075</c:v>
                </c:pt>
                <c:pt idx="1">
                  <c:v>67.047428189712761</c:v>
                </c:pt>
                <c:pt idx="2">
                  <c:v>72.732130928523716</c:v>
                </c:pt>
                <c:pt idx="3">
                  <c:v>79.866399465597866</c:v>
                </c:pt>
                <c:pt idx="4">
                  <c:v>82.030728122912507</c:v>
                </c:pt>
                <c:pt idx="5">
                  <c:v>83.653974615898477</c:v>
                </c:pt>
                <c:pt idx="6">
                  <c:v>88.283233132932537</c:v>
                </c:pt>
                <c:pt idx="7">
                  <c:v>94.455577822311298</c:v>
                </c:pt>
                <c:pt idx="8">
                  <c:v>99.599198396793582</c:v>
                </c:pt>
                <c:pt idx="9">
                  <c:v>106.27922511690046</c:v>
                </c:pt>
                <c:pt idx="10">
                  <c:v>108.41683366733467</c:v>
                </c:pt>
                <c:pt idx="11">
                  <c:v>104.2752171008684</c:v>
                </c:pt>
                <c:pt idx="12">
                  <c:v>96.192384769539089</c:v>
                </c:pt>
                <c:pt idx="13">
                  <c:v>99.799599198396805</c:v>
                </c:pt>
                <c:pt idx="14">
                  <c:v>95.791583166332671</c:v>
                </c:pt>
                <c:pt idx="15">
                  <c:v>95.457581830327328</c:v>
                </c:pt>
                <c:pt idx="16">
                  <c:v>100</c:v>
                </c:pt>
                <c:pt idx="17">
                  <c:v>105</c:v>
                </c:pt>
                <c:pt idx="18">
                  <c:v>110.25</c:v>
                </c:pt>
              </c:numCache>
            </c:numRef>
          </c:xVal>
          <c:yVal>
            <c:numRef>
              <c:f>Sheet1!$C$76:$U$76</c:f>
              <c:numCache>
                <c:formatCode>0.0</c:formatCode>
                <c:ptCount val="19"/>
                <c:pt idx="0">
                  <c:v>66.773321708805582</c:v>
                </c:pt>
                <c:pt idx="1">
                  <c:v>71.53977768090671</c:v>
                </c:pt>
                <c:pt idx="2">
                  <c:v>73.617044463818658</c:v>
                </c:pt>
                <c:pt idx="3">
                  <c:v>73.260929881429732</c:v>
                </c:pt>
                <c:pt idx="4">
                  <c:v>77.799572999534746</c:v>
                </c:pt>
                <c:pt idx="5">
                  <c:v>80.446094848513624</c:v>
                </c:pt>
                <c:pt idx="6">
                  <c:v>81.594810000535674</c:v>
                </c:pt>
                <c:pt idx="7">
                  <c:v>84.439941615891172</c:v>
                </c:pt>
                <c:pt idx="8">
                  <c:v>92.728645103742053</c:v>
                </c:pt>
                <c:pt idx="9">
                  <c:v>94.800656217084367</c:v>
                </c:pt>
                <c:pt idx="10">
                  <c:v>98.713393480848794</c:v>
                </c:pt>
                <c:pt idx="11">
                  <c:v>100.15168104990946</c:v>
                </c:pt>
                <c:pt idx="12">
                  <c:v>97.335822847497113</c:v>
                </c:pt>
                <c:pt idx="13">
                  <c:v>94.231879083832624</c:v>
                </c:pt>
                <c:pt idx="14">
                  <c:v>99.145741485734789</c:v>
                </c:pt>
                <c:pt idx="15">
                  <c:v>96.538938684539715</c:v>
                </c:pt>
                <c:pt idx="16">
                  <c:v>99.99122064916979</c:v>
                </c:pt>
                <c:pt idx="17">
                  <c:v>100.67975835327604</c:v>
                </c:pt>
                <c:pt idx="18">
                  <c:v>98.996607522663567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54-4D03-A8B8-F194F6FD0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88128"/>
        <c:axId val="108690048"/>
      </c:scatterChart>
      <c:valAx>
        <c:axId val="108688128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400" b="1" i="0" baseline="0">
                    <a:effectLst/>
                  </a:rPr>
                  <a:t>Index of GNP</a:t>
                </a:r>
                <a:endParaRPr lang="en-IE" sz="1400" b="1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90048"/>
        <c:crosses val="autoZero"/>
        <c:crossBetween val="midCat"/>
      </c:valAx>
      <c:valAx>
        <c:axId val="1086900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400" b="1" i="0" u="none" strike="noStrike" baseline="0">
                    <a:effectLst/>
                  </a:rPr>
                  <a:t>Private Car Fuel Use Index </a:t>
                </a:r>
                <a:endParaRPr lang="en-IE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8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opLeftCell="A10" zoomScale="82" zoomScaleNormal="82" workbookViewId="0">
      <selection activeCell="K33" sqref="K33"/>
    </sheetView>
  </sheetViews>
  <sheetFormatPr defaultRowHeight="15" x14ac:dyDescent="0.25"/>
  <cols>
    <col min="1" max="1" width="51.5703125" customWidth="1"/>
  </cols>
  <sheetData>
    <row r="1" spans="1:22" x14ac:dyDescent="0.25">
      <c r="A1" s="41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5" spans="1:22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2" ht="15.75" x14ac:dyDescent="0.25">
      <c r="A6" s="3" t="s">
        <v>29</v>
      </c>
      <c r="B6" s="2">
        <v>1996</v>
      </c>
      <c r="C6" s="2">
        <v>1997</v>
      </c>
      <c r="D6" s="2">
        <v>1998</v>
      </c>
      <c r="E6" s="2">
        <v>1999</v>
      </c>
      <c r="F6" s="2">
        <v>2000</v>
      </c>
      <c r="G6" s="2">
        <v>2001</v>
      </c>
      <c r="H6" s="2">
        <v>2002</v>
      </c>
      <c r="I6" s="2">
        <v>2003</v>
      </c>
      <c r="J6" s="2">
        <v>2004</v>
      </c>
      <c r="K6" s="2">
        <v>2005</v>
      </c>
      <c r="L6" s="2">
        <v>2006</v>
      </c>
      <c r="M6" s="2">
        <v>2007</v>
      </c>
      <c r="N6" s="2">
        <v>2008</v>
      </c>
      <c r="O6" s="2">
        <v>2009</v>
      </c>
      <c r="P6" s="2">
        <v>2010</v>
      </c>
      <c r="Q6" s="2">
        <v>2011</v>
      </c>
      <c r="R6" s="2">
        <v>2012</v>
      </c>
      <c r="S6" s="2">
        <v>2013</v>
      </c>
      <c r="T6" s="2">
        <v>2014</v>
      </c>
      <c r="U6" s="2">
        <v>2015</v>
      </c>
    </row>
    <row r="7" spans="1:22" x14ac:dyDescent="0.25">
      <c r="A7" s="2" t="s">
        <v>12</v>
      </c>
      <c r="B7" s="12" t="s">
        <v>26</v>
      </c>
      <c r="C7" s="12" t="s">
        <v>26</v>
      </c>
      <c r="D7" s="12" t="s">
        <v>26</v>
      </c>
      <c r="E7" s="12" t="s">
        <v>26</v>
      </c>
      <c r="F7" s="12" t="s">
        <v>26</v>
      </c>
      <c r="G7" s="12" t="s">
        <v>26</v>
      </c>
      <c r="H7" s="12" t="s">
        <v>26</v>
      </c>
      <c r="I7" s="12" t="s">
        <v>26</v>
      </c>
      <c r="J7" s="12" t="s">
        <v>26</v>
      </c>
      <c r="K7" s="12" t="s">
        <v>26</v>
      </c>
      <c r="L7" s="12" t="s">
        <v>26</v>
      </c>
      <c r="M7" s="12" t="s">
        <v>26</v>
      </c>
      <c r="N7" s="12" t="s">
        <v>26</v>
      </c>
      <c r="O7" s="12" t="s">
        <v>26</v>
      </c>
      <c r="P7" s="12" t="s">
        <v>26</v>
      </c>
      <c r="Q7" s="12" t="s">
        <v>26</v>
      </c>
      <c r="R7" s="12" t="s">
        <v>26</v>
      </c>
      <c r="S7" s="12" t="s">
        <v>26</v>
      </c>
      <c r="T7" s="12" t="s">
        <v>26</v>
      </c>
      <c r="U7" s="12" t="s">
        <v>26</v>
      </c>
    </row>
    <row r="8" spans="1:22" x14ac:dyDescent="0.25">
      <c r="A8" t="s">
        <v>9</v>
      </c>
      <c r="B8">
        <v>1170</v>
      </c>
      <c r="C8">
        <v>1251</v>
      </c>
      <c r="D8">
        <v>1391</v>
      </c>
      <c r="E8">
        <v>1506</v>
      </c>
      <c r="F8">
        <v>1590</v>
      </c>
      <c r="G8">
        <v>1652</v>
      </c>
      <c r="H8">
        <v>1688</v>
      </c>
      <c r="I8">
        <v>1686</v>
      </c>
      <c r="J8">
        <v>1731</v>
      </c>
      <c r="K8">
        <v>1822</v>
      </c>
      <c r="L8">
        <v>1849</v>
      </c>
      <c r="M8">
        <v>1886</v>
      </c>
      <c r="N8">
        <v>1798</v>
      </c>
      <c r="O8">
        <v>1636</v>
      </c>
      <c r="P8">
        <v>1478</v>
      </c>
      <c r="Q8">
        <v>1399</v>
      </c>
      <c r="R8">
        <v>1272</v>
      </c>
      <c r="S8">
        <v>1197</v>
      </c>
      <c r="T8">
        <v>1134</v>
      </c>
      <c r="U8">
        <v>1075</v>
      </c>
    </row>
    <row r="9" spans="1:22" x14ac:dyDescent="0.25">
      <c r="A9" t="s">
        <v>10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>
        <v>25</v>
      </c>
      <c r="Q9">
        <v>45</v>
      </c>
      <c r="R9">
        <v>44</v>
      </c>
      <c r="S9">
        <v>44</v>
      </c>
      <c r="T9">
        <v>42</v>
      </c>
      <c r="U9">
        <v>46</v>
      </c>
    </row>
    <row r="10" spans="1:22" x14ac:dyDescent="0.25">
      <c r="A10" t="s">
        <v>6</v>
      </c>
      <c r="B10" s="1">
        <f>(B8+B9)</f>
        <v>1170</v>
      </c>
      <c r="C10" s="1">
        <f t="shared" ref="C10:U10" si="0">(C8+C9)</f>
        <v>1251</v>
      </c>
      <c r="D10" s="1">
        <f t="shared" si="0"/>
        <v>1391</v>
      </c>
      <c r="E10" s="1">
        <f t="shared" si="0"/>
        <v>1506</v>
      </c>
      <c r="F10" s="1">
        <f t="shared" si="0"/>
        <v>1590</v>
      </c>
      <c r="G10" s="1">
        <f t="shared" si="0"/>
        <v>1652</v>
      </c>
      <c r="H10" s="1">
        <f t="shared" si="0"/>
        <v>1688</v>
      </c>
      <c r="I10" s="1">
        <f t="shared" si="0"/>
        <v>1686</v>
      </c>
      <c r="J10" s="1">
        <f t="shared" si="0"/>
        <v>1731</v>
      </c>
      <c r="K10" s="1">
        <f t="shared" si="0"/>
        <v>1822</v>
      </c>
      <c r="L10" s="1">
        <f t="shared" si="0"/>
        <v>1849</v>
      </c>
      <c r="M10" s="1">
        <f t="shared" si="0"/>
        <v>1886</v>
      </c>
      <c r="N10" s="1">
        <f t="shared" si="0"/>
        <v>1798</v>
      </c>
      <c r="O10" s="1">
        <f t="shared" si="0"/>
        <v>1636</v>
      </c>
      <c r="P10" s="1">
        <f t="shared" si="0"/>
        <v>1503</v>
      </c>
      <c r="Q10" s="1">
        <f t="shared" si="0"/>
        <v>1444</v>
      </c>
      <c r="R10" s="1">
        <f t="shared" si="0"/>
        <v>1316</v>
      </c>
      <c r="S10" s="1">
        <f t="shared" si="0"/>
        <v>1241</v>
      </c>
      <c r="T10" s="1">
        <f t="shared" si="0"/>
        <v>1176</v>
      </c>
      <c r="U10" s="1">
        <f t="shared" si="0"/>
        <v>1121</v>
      </c>
    </row>
    <row r="11" spans="1:2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x14ac:dyDescent="0.25">
      <c r="A12" s="2" t="s">
        <v>13</v>
      </c>
    </row>
    <row r="13" spans="1:22" x14ac:dyDescent="0.25">
      <c r="A13" t="s">
        <v>0</v>
      </c>
      <c r="B13" s="1">
        <f>(B10-B14-B15-B17-B18)</f>
        <v>1181.50125</v>
      </c>
      <c r="C13" s="1">
        <f t="shared" ref="C13:U13" si="1">(C10-C14-C15-C17-C18)</f>
        <v>1210.18</v>
      </c>
      <c r="D13" s="1">
        <f t="shared" si="1"/>
        <v>1302.7225000000001</v>
      </c>
      <c r="E13" s="1">
        <f t="shared" si="1"/>
        <v>1339.575</v>
      </c>
      <c r="F13" s="1">
        <f t="shared" si="1"/>
        <v>1364.8775000000001</v>
      </c>
      <c r="G13" s="1">
        <f t="shared" si="1"/>
        <v>1454.6324999999999</v>
      </c>
      <c r="H13" s="1">
        <f t="shared" si="1"/>
        <v>1497.8075000000001</v>
      </c>
      <c r="I13" s="1">
        <f t="shared" si="1"/>
        <v>1516.03125</v>
      </c>
      <c r="J13" s="1">
        <f t="shared" si="1"/>
        <v>1554.9337499999999</v>
      </c>
      <c r="K13" s="1">
        <f t="shared" si="1"/>
        <v>1684.9337500000001</v>
      </c>
      <c r="L13" s="1">
        <f t="shared" si="1"/>
        <v>1676.99</v>
      </c>
      <c r="M13" s="1">
        <f t="shared" si="1"/>
        <v>1695.8175000000001</v>
      </c>
      <c r="N13" s="1">
        <f t="shared" si="1"/>
        <v>1656.9425000000001</v>
      </c>
      <c r="O13" s="1">
        <f t="shared" si="1"/>
        <v>1537.2175</v>
      </c>
      <c r="P13" s="1">
        <f t="shared" si="1"/>
        <v>1393.3675000000001</v>
      </c>
      <c r="Q13" s="1">
        <f t="shared" si="1"/>
        <v>1352.62625</v>
      </c>
      <c r="R13" s="1">
        <f t="shared" si="1"/>
        <v>1224.0350000000001</v>
      </c>
      <c r="S13" s="1">
        <f t="shared" si="1"/>
        <v>1180.1275000000001</v>
      </c>
      <c r="T13" s="1">
        <f t="shared" si="1"/>
        <v>1092.0350000000001</v>
      </c>
      <c r="U13" s="1">
        <f t="shared" si="1"/>
        <v>976.74374999999998</v>
      </c>
    </row>
    <row r="14" spans="1:22" x14ac:dyDescent="0.25">
      <c r="A14" t="s">
        <v>1</v>
      </c>
      <c r="B14">
        <v>8</v>
      </c>
      <c r="C14">
        <v>10</v>
      </c>
      <c r="D14">
        <v>9</v>
      </c>
      <c r="E14">
        <v>11</v>
      </c>
      <c r="F14">
        <v>12</v>
      </c>
      <c r="G14">
        <v>18</v>
      </c>
      <c r="H14">
        <v>26</v>
      </c>
      <c r="I14">
        <v>31</v>
      </c>
      <c r="J14">
        <v>34</v>
      </c>
      <c r="K14">
        <v>37</v>
      </c>
      <c r="L14">
        <v>39</v>
      </c>
      <c r="M14">
        <v>42</v>
      </c>
      <c r="N14">
        <v>48</v>
      </c>
      <c r="O14">
        <v>44</v>
      </c>
      <c r="P14">
        <v>37</v>
      </c>
      <c r="Q14">
        <v>31</v>
      </c>
      <c r="R14">
        <v>26</v>
      </c>
      <c r="S14">
        <v>21</v>
      </c>
      <c r="T14">
        <v>18</v>
      </c>
      <c r="U14">
        <v>16</v>
      </c>
    </row>
    <row r="15" spans="1:22" x14ac:dyDescent="0.25">
      <c r="A15" t="s">
        <v>3</v>
      </c>
      <c r="B15">
        <v>1</v>
      </c>
      <c r="C15">
        <v>1</v>
      </c>
      <c r="D15">
        <v>1</v>
      </c>
      <c r="E15">
        <v>1</v>
      </c>
      <c r="F15">
        <v>1</v>
      </c>
      <c r="G15">
        <v>2</v>
      </c>
      <c r="H15">
        <v>1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</row>
    <row r="16" spans="1:22" x14ac:dyDescent="0.25">
      <c r="A16" t="s">
        <v>4</v>
      </c>
    </row>
    <row r="17" spans="1:21" x14ac:dyDescent="0.25">
      <c r="A17" t="s">
        <v>11</v>
      </c>
      <c r="B17" s="1">
        <v>-20.501249999999999</v>
      </c>
      <c r="C17" s="1">
        <v>29.82</v>
      </c>
      <c r="D17" s="1">
        <v>78.277499999999989</v>
      </c>
      <c r="E17" s="1">
        <v>154.42499999999998</v>
      </c>
      <c r="F17" s="1">
        <v>199.155</v>
      </c>
      <c r="G17" s="1">
        <v>165.60749999999999</v>
      </c>
      <c r="H17" s="1">
        <v>150.69749999999999</v>
      </c>
      <c r="I17" s="1">
        <v>124.60499999999999</v>
      </c>
      <c r="J17" s="1">
        <v>128.33249999999998</v>
      </c>
      <c r="K17" s="1">
        <v>87.33</v>
      </c>
      <c r="L17" s="1">
        <v>120.8775</v>
      </c>
      <c r="M17" s="1">
        <v>135.78749999999999</v>
      </c>
      <c r="N17" s="1">
        <v>91.05749999999999</v>
      </c>
      <c r="O17" s="1">
        <v>53.782499999999999</v>
      </c>
      <c r="P17" s="1">
        <v>61.237499999999997</v>
      </c>
      <c r="Q17" s="1">
        <v>59.373749999999994</v>
      </c>
      <c r="R17" s="1">
        <v>64.965000000000003</v>
      </c>
      <c r="S17" s="1">
        <v>38.872499999999995</v>
      </c>
      <c r="T17" s="1">
        <v>64.965000000000003</v>
      </c>
      <c r="U17" s="1">
        <v>117.14999999999999</v>
      </c>
    </row>
    <row r="18" spans="1:21" x14ac:dyDescent="0.25">
      <c r="A18" t="s">
        <v>23</v>
      </c>
      <c r="B18" s="9">
        <v>0</v>
      </c>
      <c r="C18" s="9">
        <v>0</v>
      </c>
      <c r="D18" s="9">
        <v>0</v>
      </c>
      <c r="E18" s="9">
        <v>0</v>
      </c>
      <c r="F18" s="10">
        <v>12.967499999999999</v>
      </c>
      <c r="G18" s="10">
        <v>11.76</v>
      </c>
      <c r="H18" s="10">
        <v>12.495000000000001</v>
      </c>
      <c r="I18" s="10">
        <v>12.363750000000001</v>
      </c>
      <c r="J18" s="10">
        <v>11.733750000000001</v>
      </c>
      <c r="K18" s="10">
        <v>10.73625</v>
      </c>
      <c r="L18" s="10">
        <v>10.1325</v>
      </c>
      <c r="M18" s="10">
        <v>10.395000000000001</v>
      </c>
      <c r="N18" s="10">
        <v>0</v>
      </c>
      <c r="O18" s="10">
        <v>0</v>
      </c>
      <c r="P18" s="10">
        <v>10.395000000000001</v>
      </c>
      <c r="Q18" s="10">
        <v>0</v>
      </c>
      <c r="R18" s="10">
        <v>0</v>
      </c>
      <c r="S18" s="10">
        <v>0</v>
      </c>
      <c r="T18" s="10">
        <v>0</v>
      </c>
      <c r="U18" s="10">
        <v>10.106250000000001</v>
      </c>
    </row>
    <row r="19" spans="1:21" x14ac:dyDescent="0.25">
      <c r="A19" s="2" t="s">
        <v>6</v>
      </c>
      <c r="B19" s="1">
        <f>SUM(B13:B18)</f>
        <v>1170</v>
      </c>
      <c r="C19" s="1">
        <f t="shared" ref="C19:U19" si="2">SUM(C13:C18)</f>
        <v>1251</v>
      </c>
      <c r="D19" s="1">
        <f t="shared" si="2"/>
        <v>1391</v>
      </c>
      <c r="E19" s="1">
        <f t="shared" si="2"/>
        <v>1506</v>
      </c>
      <c r="F19" s="1">
        <f t="shared" si="2"/>
        <v>1590</v>
      </c>
      <c r="G19" s="1">
        <f t="shared" si="2"/>
        <v>1652</v>
      </c>
      <c r="H19" s="1">
        <f t="shared" si="2"/>
        <v>1688</v>
      </c>
      <c r="I19" s="1">
        <f t="shared" si="2"/>
        <v>1686</v>
      </c>
      <c r="J19" s="1">
        <f t="shared" si="2"/>
        <v>1731</v>
      </c>
      <c r="K19" s="1">
        <f t="shared" si="2"/>
        <v>1822</v>
      </c>
      <c r="L19" s="1">
        <f t="shared" si="2"/>
        <v>1849</v>
      </c>
      <c r="M19" s="1">
        <f t="shared" si="2"/>
        <v>1886</v>
      </c>
      <c r="N19" s="1">
        <f t="shared" si="2"/>
        <v>1798</v>
      </c>
      <c r="O19" s="1">
        <f t="shared" si="2"/>
        <v>1636</v>
      </c>
      <c r="P19" s="1">
        <f t="shared" si="2"/>
        <v>1503</v>
      </c>
      <c r="Q19" s="1">
        <f t="shared" si="2"/>
        <v>1444</v>
      </c>
      <c r="R19" s="1">
        <f t="shared" si="2"/>
        <v>1316</v>
      </c>
      <c r="S19" s="1">
        <f t="shared" si="2"/>
        <v>1241</v>
      </c>
      <c r="T19" s="1">
        <f t="shared" si="2"/>
        <v>1176</v>
      </c>
      <c r="U19" s="1">
        <f t="shared" si="2"/>
        <v>1121</v>
      </c>
    </row>
    <row r="20" spans="1:2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8" t="s">
        <v>34</v>
      </c>
      <c r="B21" s="1">
        <f>(B13/1.065)/0.7342</f>
        <v>1511.0199469768763</v>
      </c>
      <c r="C21" s="1">
        <f t="shared" ref="C21:U21" si="3">(C13/1.065)/0.7342</f>
        <v>1547.6971517655834</v>
      </c>
      <c r="D21" s="1">
        <f t="shared" si="3"/>
        <v>1666.0495982340976</v>
      </c>
      <c r="E21" s="1">
        <f t="shared" si="3"/>
        <v>1713.1801980501918</v>
      </c>
      <c r="F21" s="1">
        <f t="shared" si="3"/>
        <v>1745.5395224337947</v>
      </c>
      <c r="G21" s="1">
        <f t="shared" si="3"/>
        <v>1860.3270398747704</v>
      </c>
      <c r="H21" s="1">
        <f t="shared" si="3"/>
        <v>1915.5434742295599</v>
      </c>
      <c r="I21" s="1">
        <f t="shared" si="3"/>
        <v>1938.8497972306739</v>
      </c>
      <c r="J21" s="1">
        <f t="shared" si="3"/>
        <v>1988.6021385737472</v>
      </c>
      <c r="K21" s="1">
        <f t="shared" si="3"/>
        <v>2154.8589183333911</v>
      </c>
      <c r="L21" s="1">
        <f t="shared" si="3"/>
        <v>2144.6996699163474</v>
      </c>
      <c r="M21" s="1">
        <f t="shared" si="3"/>
        <v>2168.7781277696145</v>
      </c>
      <c r="N21" s="1">
        <f t="shared" si="3"/>
        <v>2119.0609561299516</v>
      </c>
      <c r="O21" s="1">
        <f t="shared" si="3"/>
        <v>1965.944856462849</v>
      </c>
      <c r="P21" s="1">
        <f t="shared" si="3"/>
        <v>1781.9753351672737</v>
      </c>
      <c r="Q21" s="1">
        <f t="shared" si="3"/>
        <v>1729.8714195643308</v>
      </c>
      <c r="R21" s="1">
        <f t="shared" si="3"/>
        <v>1565.4162877930439</v>
      </c>
      <c r="S21" s="1">
        <f t="shared" si="3"/>
        <v>1509.263060429224</v>
      </c>
      <c r="T21" s="1">
        <f t="shared" si="3"/>
        <v>1396.6017114217132</v>
      </c>
      <c r="U21" s="1">
        <f t="shared" si="3"/>
        <v>1249.1559271181436</v>
      </c>
    </row>
    <row r="22" spans="1:21" x14ac:dyDescent="0.25">
      <c r="A22" t="s">
        <v>35</v>
      </c>
      <c r="F22">
        <v>18.759</v>
      </c>
      <c r="G22">
        <v>19.815999999999999</v>
      </c>
      <c r="H22">
        <v>20.495999999999999</v>
      </c>
      <c r="I22">
        <v>21.102</v>
      </c>
      <c r="J22">
        <v>21.672000000000001</v>
      </c>
      <c r="K22">
        <v>22.469000000000001</v>
      </c>
      <c r="L22">
        <v>23.064</v>
      </c>
      <c r="M22">
        <v>23.437999999999999</v>
      </c>
      <c r="N22">
        <v>22.911000000000001</v>
      </c>
      <c r="O22">
        <v>21.46</v>
      </c>
      <c r="P22">
        <v>19.806999999999999</v>
      </c>
      <c r="Q22">
        <v>18.788</v>
      </c>
      <c r="R22">
        <v>17.687999999999999</v>
      </c>
      <c r="S22">
        <v>17.021000000000001</v>
      </c>
      <c r="T22">
        <v>16.222999999999999</v>
      </c>
      <c r="U22">
        <v>15.010999999999999</v>
      </c>
    </row>
    <row r="23" spans="1:21" x14ac:dyDescent="0.25">
      <c r="A23" t="s">
        <v>47</v>
      </c>
      <c r="F23" s="15">
        <f>(F21/(F22*10))</f>
        <v>9.3050776823593715</v>
      </c>
      <c r="G23" s="15">
        <f t="shared" ref="G23:U23" si="4">(G21/(G22*10))</f>
        <v>9.3880048439380825</v>
      </c>
      <c r="H23" s="15">
        <f t="shared" si="4"/>
        <v>9.3459381061161206</v>
      </c>
      <c r="I23" s="15">
        <f t="shared" si="4"/>
        <v>9.1879906986573481</v>
      </c>
      <c r="J23" s="15">
        <f t="shared" si="4"/>
        <v>9.1759050321786049</v>
      </c>
      <c r="K23" s="15">
        <f t="shared" si="4"/>
        <v>9.5903641387395577</v>
      </c>
      <c r="L23" s="15">
        <f t="shared" si="4"/>
        <v>9.2989059569734103</v>
      </c>
      <c r="M23" s="15">
        <f t="shared" si="4"/>
        <v>9.253255942356919</v>
      </c>
      <c r="N23" s="15">
        <f t="shared" si="4"/>
        <v>9.2490984947403057</v>
      </c>
      <c r="O23" s="15">
        <f t="shared" si="4"/>
        <v>9.1609732360803768</v>
      </c>
      <c r="P23" s="15">
        <f t="shared" si="4"/>
        <v>8.9966947804678838</v>
      </c>
      <c r="Q23" s="15">
        <f t="shared" si="4"/>
        <v>9.2073207343215397</v>
      </c>
      <c r="R23" s="15">
        <f t="shared" si="4"/>
        <v>8.8501599264645172</v>
      </c>
      <c r="S23" s="15">
        <f t="shared" si="4"/>
        <v>8.8670645698209505</v>
      </c>
      <c r="T23" s="15">
        <f t="shared" si="4"/>
        <v>8.6087758825230427</v>
      </c>
      <c r="U23" s="15">
        <f t="shared" si="4"/>
        <v>8.3216036714285764</v>
      </c>
    </row>
    <row r="25" spans="1:21" ht="20.25" customHeight="1" x14ac:dyDescent="0.25"/>
    <row r="26" spans="1:21" ht="20.25" customHeight="1" x14ac:dyDescent="0.25">
      <c r="A26" s="3" t="s">
        <v>8</v>
      </c>
      <c r="B26" s="2">
        <v>1996</v>
      </c>
      <c r="C26" s="2">
        <v>1997</v>
      </c>
      <c r="D26" s="2">
        <v>1998</v>
      </c>
      <c r="E26" s="2">
        <v>1999</v>
      </c>
      <c r="F26" s="2">
        <v>2000</v>
      </c>
      <c r="G26" s="2">
        <v>2001</v>
      </c>
      <c r="H26" s="2">
        <v>2002</v>
      </c>
      <c r="I26" s="2">
        <v>2003</v>
      </c>
      <c r="J26" s="2">
        <v>2004</v>
      </c>
      <c r="K26" s="2">
        <v>2005</v>
      </c>
      <c r="L26" s="2">
        <v>2006</v>
      </c>
      <c r="M26" s="2">
        <v>2007</v>
      </c>
      <c r="N26" s="2">
        <v>2008</v>
      </c>
      <c r="O26" s="2">
        <v>2009</v>
      </c>
      <c r="P26" s="2">
        <v>2010</v>
      </c>
      <c r="Q26" s="2">
        <v>2011</v>
      </c>
      <c r="R26" s="2">
        <v>2012</v>
      </c>
      <c r="S26" s="2">
        <v>2013</v>
      </c>
      <c r="T26" s="2">
        <v>2014</v>
      </c>
      <c r="U26" s="2">
        <v>2015</v>
      </c>
    </row>
    <row r="27" spans="1:21" x14ac:dyDescent="0.25">
      <c r="A27" s="2" t="s">
        <v>12</v>
      </c>
      <c r="B27" s="12" t="s">
        <v>26</v>
      </c>
      <c r="C27" s="12" t="s">
        <v>26</v>
      </c>
      <c r="D27" s="12" t="s">
        <v>26</v>
      </c>
      <c r="E27" s="12" t="s">
        <v>26</v>
      </c>
      <c r="F27" s="12" t="s">
        <v>26</v>
      </c>
      <c r="G27" s="12" t="s">
        <v>26</v>
      </c>
      <c r="H27" s="12" t="s">
        <v>26</v>
      </c>
      <c r="I27" s="12" t="s">
        <v>26</v>
      </c>
      <c r="J27" s="12" t="s">
        <v>26</v>
      </c>
      <c r="K27" s="12" t="s">
        <v>26</v>
      </c>
      <c r="L27" s="12" t="s">
        <v>26</v>
      </c>
      <c r="M27" s="12" t="s">
        <v>26</v>
      </c>
      <c r="N27" s="12" t="s">
        <v>26</v>
      </c>
      <c r="O27" s="12" t="s">
        <v>26</v>
      </c>
      <c r="P27" s="12" t="s">
        <v>26</v>
      </c>
      <c r="Q27" s="12" t="s">
        <v>26</v>
      </c>
      <c r="R27" s="12" t="s">
        <v>26</v>
      </c>
      <c r="S27" s="12" t="s">
        <v>26</v>
      </c>
      <c r="T27" s="12" t="s">
        <v>26</v>
      </c>
      <c r="U27" s="12" t="s">
        <v>26</v>
      </c>
    </row>
    <row r="28" spans="1:21" x14ac:dyDescent="0.25">
      <c r="A28" t="s">
        <v>9</v>
      </c>
      <c r="B28">
        <v>1088</v>
      </c>
      <c r="C28">
        <v>1124</v>
      </c>
      <c r="D28">
        <v>1416</v>
      </c>
      <c r="E28">
        <v>1592</v>
      </c>
      <c r="F28">
        <v>1855</v>
      </c>
      <c r="G28">
        <v>1959</v>
      </c>
      <c r="H28">
        <v>1989</v>
      </c>
      <c r="I28">
        <v>2059</v>
      </c>
      <c r="J28">
        <v>2248</v>
      </c>
      <c r="K28">
        <v>2378</v>
      </c>
      <c r="L28">
        <v>2590</v>
      </c>
      <c r="M28">
        <v>2759</v>
      </c>
      <c r="N28">
        <v>2615</v>
      </c>
      <c r="O28">
        <v>2378</v>
      </c>
      <c r="P28">
        <v>2236</v>
      </c>
      <c r="Q28">
        <v>2221</v>
      </c>
      <c r="R28">
        <v>2224</v>
      </c>
      <c r="S28">
        <v>2368</v>
      </c>
      <c r="T28">
        <v>2519</v>
      </c>
      <c r="U28">
        <v>2733</v>
      </c>
    </row>
    <row r="29" spans="1:21" x14ac:dyDescent="0.25">
      <c r="A29" t="s">
        <v>10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58</v>
      </c>
      <c r="Q29">
        <v>79</v>
      </c>
      <c r="R29">
        <v>64</v>
      </c>
      <c r="S29">
        <v>87</v>
      </c>
      <c r="T29">
        <v>106</v>
      </c>
      <c r="U29">
        <v>116</v>
      </c>
    </row>
    <row r="30" spans="1:21" x14ac:dyDescent="0.25">
      <c r="A30" t="s">
        <v>6</v>
      </c>
      <c r="B30">
        <f>(B28+B29)</f>
        <v>1088</v>
      </c>
      <c r="C30">
        <f t="shared" ref="C30:U30" si="5">(C28+C29)</f>
        <v>1124</v>
      </c>
      <c r="D30">
        <f t="shared" si="5"/>
        <v>1416</v>
      </c>
      <c r="E30">
        <f t="shared" si="5"/>
        <v>1592</v>
      </c>
      <c r="F30">
        <f t="shared" si="5"/>
        <v>1855</v>
      </c>
      <c r="G30">
        <f t="shared" si="5"/>
        <v>1959</v>
      </c>
      <c r="H30">
        <f t="shared" si="5"/>
        <v>1989</v>
      </c>
      <c r="I30">
        <f t="shared" si="5"/>
        <v>2059</v>
      </c>
      <c r="J30">
        <f t="shared" si="5"/>
        <v>2248</v>
      </c>
      <c r="K30">
        <f t="shared" si="5"/>
        <v>2378</v>
      </c>
      <c r="L30">
        <f t="shared" si="5"/>
        <v>2590</v>
      </c>
      <c r="M30">
        <f t="shared" si="5"/>
        <v>2759</v>
      </c>
      <c r="N30">
        <f t="shared" si="5"/>
        <v>2615</v>
      </c>
      <c r="O30">
        <f t="shared" si="5"/>
        <v>2378</v>
      </c>
      <c r="P30">
        <f t="shared" si="5"/>
        <v>2294</v>
      </c>
      <c r="Q30">
        <f t="shared" si="5"/>
        <v>2300</v>
      </c>
      <c r="R30">
        <f t="shared" si="5"/>
        <v>2288</v>
      </c>
      <c r="S30">
        <f t="shared" si="5"/>
        <v>2455</v>
      </c>
      <c r="T30">
        <f t="shared" si="5"/>
        <v>2625</v>
      </c>
      <c r="U30">
        <f t="shared" si="5"/>
        <v>2849</v>
      </c>
    </row>
    <row r="37" spans="1:21" x14ac:dyDescent="0.25">
      <c r="A37" s="2" t="s">
        <v>13</v>
      </c>
    </row>
    <row r="38" spans="1:21" x14ac:dyDescent="0.25">
      <c r="A38" t="s">
        <v>27</v>
      </c>
      <c r="B38" s="1">
        <f>(B30-B39-B40-B41-B46-B47)</f>
        <v>750.92471999999998</v>
      </c>
      <c r="C38" s="1">
        <f t="shared" ref="C38:U38" si="6">(C30-C39-C40-C41-C46-C47)</f>
        <v>575.52988000000005</v>
      </c>
      <c r="D38" s="1">
        <f t="shared" si="6"/>
        <v>642.47966399999996</v>
      </c>
      <c r="E38" s="1">
        <f t="shared" si="6"/>
        <v>732.51246399999991</v>
      </c>
      <c r="F38" s="1">
        <f t="shared" si="6"/>
        <v>947.27050852000207</v>
      </c>
      <c r="G38" s="1">
        <f t="shared" si="6"/>
        <v>1043.1114873906727</v>
      </c>
      <c r="H38" s="1">
        <f t="shared" si="6"/>
        <v>1061.6358041750975</v>
      </c>
      <c r="I38" s="1">
        <f t="shared" si="6"/>
        <v>1150.2907185877116</v>
      </c>
      <c r="J38" s="1">
        <f t="shared" si="6"/>
        <v>1283.7019153314563</v>
      </c>
      <c r="K38" s="1">
        <f t="shared" si="6"/>
        <v>1373.2573093201572</v>
      </c>
      <c r="L38" s="1">
        <f t="shared" si="6"/>
        <v>1443.2311663800849</v>
      </c>
      <c r="M38" s="1">
        <f t="shared" si="6"/>
        <v>1606.181837549329</v>
      </c>
      <c r="N38" s="1">
        <f t="shared" si="6"/>
        <v>1427.9545847150775</v>
      </c>
      <c r="O38" s="1">
        <f t="shared" si="6"/>
        <v>1158.218683878416</v>
      </c>
      <c r="P38" s="1">
        <f t="shared" si="6"/>
        <v>976.39392981687979</v>
      </c>
      <c r="Q38" s="1">
        <f t="shared" si="6"/>
        <v>849.55846031724388</v>
      </c>
      <c r="R38" s="1">
        <f t="shared" si="6"/>
        <v>735.85241857665937</v>
      </c>
      <c r="S38" s="1">
        <f t="shared" si="6"/>
        <v>800.81356230804545</v>
      </c>
      <c r="T38" s="1">
        <f t="shared" si="6"/>
        <v>803.25796737584778</v>
      </c>
      <c r="U38" s="1">
        <f t="shared" si="6"/>
        <v>867.53303543009781</v>
      </c>
    </row>
    <row r="39" spans="1:21" x14ac:dyDescent="0.25">
      <c r="A39" t="s">
        <v>0</v>
      </c>
      <c r="B39" s="17">
        <f>(250*1.2)</f>
        <v>300</v>
      </c>
      <c r="C39" s="18">
        <f>(268*1.2)</f>
        <v>321.59999999999997</v>
      </c>
      <c r="D39" s="18">
        <f>(282*1.2)</f>
        <v>338.4</v>
      </c>
      <c r="E39" s="18">
        <f>(291*1.2)</f>
        <v>349.2</v>
      </c>
      <c r="F39" s="1">
        <f t="shared" ref="F39:U39" si="7">(F53*0.8375*1.0344)</f>
        <v>315.72823147999799</v>
      </c>
      <c r="G39" s="1">
        <f t="shared" si="7"/>
        <v>330.08970460932721</v>
      </c>
      <c r="H39" s="1">
        <f t="shared" si="7"/>
        <v>347.62591582490251</v>
      </c>
      <c r="I39" s="1">
        <f t="shared" si="7"/>
        <v>355.75369141228845</v>
      </c>
      <c r="J39" s="1">
        <f t="shared" si="7"/>
        <v>382.11851066854371</v>
      </c>
      <c r="K39" s="1">
        <f t="shared" si="7"/>
        <v>442.26136867984269</v>
      </c>
      <c r="L39" s="1">
        <f t="shared" si="7"/>
        <v>497.73705361991512</v>
      </c>
      <c r="M39" s="1">
        <f t="shared" si="7"/>
        <v>568.66774645067096</v>
      </c>
      <c r="N39" s="1">
        <f t="shared" si="7"/>
        <v>640.5370632849224</v>
      </c>
      <c r="O39" s="1">
        <f t="shared" si="7"/>
        <v>695.66627612158379</v>
      </c>
      <c r="P39" s="1">
        <f t="shared" si="7"/>
        <v>768.31180618312032</v>
      </c>
      <c r="Q39" s="1">
        <f t="shared" si="7"/>
        <v>921.77705968275609</v>
      </c>
      <c r="R39" s="1">
        <f t="shared" si="7"/>
        <v>990.56825342334059</v>
      </c>
      <c r="S39" s="1">
        <f t="shared" si="7"/>
        <v>1113.6711016919546</v>
      </c>
      <c r="T39" s="1">
        <f t="shared" si="7"/>
        <v>1217.5586566241523</v>
      </c>
      <c r="U39" s="1">
        <f t="shared" si="7"/>
        <v>1294.2384265699022</v>
      </c>
    </row>
    <row r="40" spans="1:21" x14ac:dyDescent="0.25">
      <c r="A40" t="s">
        <v>1</v>
      </c>
      <c r="B40">
        <v>62</v>
      </c>
      <c r="C40">
        <v>59</v>
      </c>
      <c r="D40">
        <v>71</v>
      </c>
      <c r="E40">
        <v>80</v>
      </c>
      <c r="F40">
        <v>75</v>
      </c>
      <c r="G40">
        <v>81</v>
      </c>
      <c r="H40">
        <v>88</v>
      </c>
      <c r="I40">
        <v>99</v>
      </c>
      <c r="J40">
        <v>95</v>
      </c>
      <c r="K40">
        <v>120</v>
      </c>
      <c r="L40">
        <v>121</v>
      </c>
      <c r="M40">
        <v>125</v>
      </c>
      <c r="N40">
        <v>151</v>
      </c>
      <c r="O40">
        <v>134</v>
      </c>
      <c r="P40">
        <v>123</v>
      </c>
      <c r="Q40">
        <v>118</v>
      </c>
      <c r="R40">
        <v>120</v>
      </c>
      <c r="S40">
        <v>119</v>
      </c>
      <c r="T40">
        <v>117</v>
      </c>
      <c r="U40">
        <v>116</v>
      </c>
    </row>
    <row r="41" spans="1:21" x14ac:dyDescent="0.25">
      <c r="A41" t="s">
        <v>2</v>
      </c>
      <c r="B41">
        <v>42</v>
      </c>
      <c r="C41">
        <v>41</v>
      </c>
      <c r="D41">
        <v>42</v>
      </c>
      <c r="E41">
        <v>40</v>
      </c>
      <c r="F41">
        <v>40</v>
      </c>
      <c r="G41">
        <v>44</v>
      </c>
      <c r="H41">
        <v>38</v>
      </c>
      <c r="I41">
        <v>42</v>
      </c>
      <c r="J41">
        <v>45</v>
      </c>
      <c r="K41">
        <v>40</v>
      </c>
      <c r="L41">
        <v>40</v>
      </c>
      <c r="M41">
        <v>43</v>
      </c>
      <c r="N41">
        <v>46</v>
      </c>
      <c r="O41">
        <v>40</v>
      </c>
      <c r="P41">
        <v>40</v>
      </c>
      <c r="Q41">
        <v>40</v>
      </c>
      <c r="R41">
        <v>38</v>
      </c>
      <c r="S41">
        <v>38</v>
      </c>
      <c r="T41">
        <v>35</v>
      </c>
      <c r="U41">
        <v>36</v>
      </c>
    </row>
    <row r="42" spans="1:21" x14ac:dyDescent="0.25">
      <c r="A42" t="s">
        <v>4</v>
      </c>
    </row>
    <row r="43" spans="1:21" x14ac:dyDescent="0.25">
      <c r="A43" t="s">
        <v>11</v>
      </c>
      <c r="B43" s="5">
        <v>-12.72312</v>
      </c>
      <c r="C43" s="5">
        <v>61.070976000000002</v>
      </c>
      <c r="D43" s="5">
        <v>132.320448</v>
      </c>
      <c r="E43" s="5">
        <v>188.302176</v>
      </c>
      <c r="F43" s="5">
        <v>254.4624</v>
      </c>
      <c r="G43" s="5">
        <v>229.01616000000001</v>
      </c>
      <c r="H43" s="5">
        <v>208.65916799999999</v>
      </c>
      <c r="I43" s="5">
        <v>157.76668800000002</v>
      </c>
      <c r="J43" s="5">
        <v>162.85593599999999</v>
      </c>
      <c r="K43" s="5">
        <v>122.141952</v>
      </c>
      <c r="L43" s="5">
        <v>162.85593599999999</v>
      </c>
      <c r="M43" s="5">
        <v>96.695712</v>
      </c>
      <c r="N43" s="5">
        <v>55.981727999999997</v>
      </c>
      <c r="O43" s="5">
        <v>81.427967999999993</v>
      </c>
      <c r="P43" s="5">
        <v>91.606464000000003</v>
      </c>
      <c r="Q43" s="5">
        <v>101.78496</v>
      </c>
      <c r="R43" s="5">
        <v>101.78496</v>
      </c>
      <c r="S43" s="5">
        <v>71.249471999999997</v>
      </c>
      <c r="T43" s="5">
        <v>117.05270399999999</v>
      </c>
      <c r="U43" s="5">
        <v>183.21292800000001</v>
      </c>
    </row>
    <row r="44" spans="1:21" x14ac:dyDescent="0.25">
      <c r="A44" t="s">
        <v>24</v>
      </c>
      <c r="B44">
        <v>0</v>
      </c>
      <c r="C44">
        <v>0</v>
      </c>
      <c r="D44">
        <v>0</v>
      </c>
      <c r="E44">
        <v>0</v>
      </c>
      <c r="F44" s="1">
        <v>12.967499999999999</v>
      </c>
      <c r="G44" s="1">
        <v>11.76</v>
      </c>
      <c r="H44" s="1">
        <v>12.495000000000001</v>
      </c>
      <c r="I44" s="1">
        <v>12.363750000000001</v>
      </c>
      <c r="J44" s="1">
        <v>11.733750000000001</v>
      </c>
      <c r="K44" s="1">
        <v>10.73625</v>
      </c>
      <c r="L44" s="1">
        <v>10.1325</v>
      </c>
      <c r="M44" s="1">
        <v>10.395000000000001</v>
      </c>
      <c r="N44" s="1">
        <v>0</v>
      </c>
      <c r="O44" s="1">
        <v>0</v>
      </c>
      <c r="P44" s="1">
        <v>10.395000000000001</v>
      </c>
      <c r="Q44" s="1">
        <v>0</v>
      </c>
      <c r="R44" s="1">
        <v>0</v>
      </c>
      <c r="S44" s="1">
        <v>0</v>
      </c>
      <c r="T44" s="1">
        <v>0</v>
      </c>
      <c r="U44" s="1">
        <v>10.106250000000001</v>
      </c>
    </row>
    <row r="45" spans="1:21" x14ac:dyDescent="0.25">
      <c r="A45" t="s">
        <v>25</v>
      </c>
      <c r="B45" s="10">
        <v>-66.201599999999999</v>
      </c>
      <c r="C45" s="10">
        <v>53.799144000000005</v>
      </c>
      <c r="D45" s="10">
        <v>173.79988800000001</v>
      </c>
      <c r="E45" s="19">
        <v>182.98536000000001</v>
      </c>
      <c r="F45" s="10">
        <v>185.57136</v>
      </c>
      <c r="G45" s="10">
        <v>191.02264799999998</v>
      </c>
      <c r="H45" s="10">
        <v>198.58411199999998</v>
      </c>
      <c r="I45" s="10">
        <v>202.825152</v>
      </c>
      <c r="J45" s="10">
        <v>212.589888</v>
      </c>
      <c r="K45" s="10">
        <v>219.60312000000002</v>
      </c>
      <c r="L45" s="10">
        <v>234.04334399999999</v>
      </c>
      <c r="M45" s="10">
        <v>245.05970399999998</v>
      </c>
      <c r="N45" s="10">
        <v>227.526624</v>
      </c>
      <c r="O45" s="10">
        <v>204.687072</v>
      </c>
      <c r="P45" s="10">
        <v>219.2928</v>
      </c>
      <c r="Q45" s="10">
        <v>212.87952000000001</v>
      </c>
      <c r="R45" s="10">
        <v>242.79436799999999</v>
      </c>
      <c r="S45" s="10">
        <v>254.26586399999999</v>
      </c>
      <c r="T45" s="10">
        <v>263.130672</v>
      </c>
      <c r="U45" s="10">
        <v>270.90935999999999</v>
      </c>
    </row>
    <row r="46" spans="1:21" x14ac:dyDescent="0.25">
      <c r="A46" t="s">
        <v>6</v>
      </c>
      <c r="B46" s="11">
        <v>-78.924719999999994</v>
      </c>
      <c r="C46" s="11">
        <v>114.87012000000001</v>
      </c>
      <c r="D46" s="11">
        <v>306.12033600000001</v>
      </c>
      <c r="E46" s="11">
        <v>371.28753600000005</v>
      </c>
      <c r="F46" s="11">
        <v>453.00126</v>
      </c>
      <c r="G46" s="11">
        <v>431.79880800000001</v>
      </c>
      <c r="H46" s="11">
        <v>419.73827999999997</v>
      </c>
      <c r="I46" s="11">
        <v>372.95559000000003</v>
      </c>
      <c r="J46" s="11">
        <v>387.179574</v>
      </c>
      <c r="K46" s="11">
        <v>352.48132200000003</v>
      </c>
      <c r="L46" s="11">
        <v>407.03177999999997</v>
      </c>
      <c r="M46" s="11">
        <v>352.15041599999995</v>
      </c>
      <c r="N46" s="11">
        <v>283.508352</v>
      </c>
      <c r="O46" s="11">
        <v>286.11504000000002</v>
      </c>
      <c r="P46" s="11">
        <v>321.294264</v>
      </c>
      <c r="Q46" s="11">
        <v>314.66448000000003</v>
      </c>
      <c r="R46" s="11">
        <v>344.57932799999998</v>
      </c>
      <c r="S46" s="11">
        <v>325.51533599999999</v>
      </c>
      <c r="T46" s="11">
        <v>380.18337600000001</v>
      </c>
      <c r="U46" s="11">
        <v>464.22853799999996</v>
      </c>
    </row>
    <row r="47" spans="1:21" x14ac:dyDescent="0.25">
      <c r="A47" t="s">
        <v>5</v>
      </c>
      <c r="B47">
        <v>12</v>
      </c>
      <c r="C47">
        <v>12</v>
      </c>
      <c r="D47">
        <v>16</v>
      </c>
      <c r="E47">
        <v>19</v>
      </c>
      <c r="F47" s="11">
        <v>24</v>
      </c>
      <c r="G47" s="11">
        <v>29</v>
      </c>
      <c r="H47" s="11">
        <v>34</v>
      </c>
      <c r="I47" s="11">
        <v>39</v>
      </c>
      <c r="J47" s="11">
        <v>55</v>
      </c>
      <c r="K47" s="11">
        <v>50</v>
      </c>
      <c r="L47" s="11">
        <v>81</v>
      </c>
      <c r="M47" s="11">
        <v>64</v>
      </c>
      <c r="N47" s="11">
        <v>66</v>
      </c>
      <c r="O47" s="11">
        <v>64</v>
      </c>
      <c r="P47" s="11">
        <v>65</v>
      </c>
      <c r="Q47" s="11">
        <v>56</v>
      </c>
      <c r="R47" s="11">
        <v>59</v>
      </c>
      <c r="S47" s="11">
        <v>58</v>
      </c>
      <c r="T47" s="11">
        <v>72</v>
      </c>
      <c r="U47" s="11">
        <v>71</v>
      </c>
    </row>
    <row r="48" spans="1:21" x14ac:dyDescent="0.25">
      <c r="A48" s="2" t="s">
        <v>6</v>
      </c>
      <c r="B48" s="1">
        <f>(B38+B39+B40+B41+B46+B47)</f>
        <v>1088</v>
      </c>
      <c r="C48" s="1">
        <f t="shared" ref="C48:U48" si="8">(C38+C39+C40+C41+C46+C47)</f>
        <v>1124</v>
      </c>
      <c r="D48" s="1">
        <f t="shared" si="8"/>
        <v>1416</v>
      </c>
      <c r="E48" s="1">
        <f t="shared" si="8"/>
        <v>1592</v>
      </c>
      <c r="F48" s="1">
        <f t="shared" si="8"/>
        <v>1855</v>
      </c>
      <c r="G48" s="1">
        <f t="shared" si="8"/>
        <v>1959</v>
      </c>
      <c r="H48" s="1">
        <f t="shared" si="8"/>
        <v>1989</v>
      </c>
      <c r="I48" s="1">
        <f t="shared" si="8"/>
        <v>2059</v>
      </c>
      <c r="J48" s="1">
        <f t="shared" si="8"/>
        <v>2248</v>
      </c>
      <c r="K48" s="1">
        <f t="shared" si="8"/>
        <v>2378</v>
      </c>
      <c r="L48" s="1">
        <f t="shared" si="8"/>
        <v>2589.9999999999995</v>
      </c>
      <c r="M48" s="1">
        <f t="shared" si="8"/>
        <v>2759</v>
      </c>
      <c r="N48" s="1">
        <f t="shared" si="8"/>
        <v>2615</v>
      </c>
      <c r="O48" s="1">
        <f t="shared" si="8"/>
        <v>2378</v>
      </c>
      <c r="P48" s="1">
        <f t="shared" si="8"/>
        <v>2294</v>
      </c>
      <c r="Q48" s="1">
        <f t="shared" si="8"/>
        <v>2300</v>
      </c>
      <c r="R48" s="1">
        <f t="shared" si="8"/>
        <v>2288</v>
      </c>
      <c r="S48" s="1">
        <f t="shared" si="8"/>
        <v>2455</v>
      </c>
      <c r="T48" s="1">
        <f t="shared" si="8"/>
        <v>2625</v>
      </c>
      <c r="U48" s="1">
        <f t="shared" si="8"/>
        <v>2849</v>
      </c>
    </row>
    <row r="49" spans="1:22" x14ac:dyDescent="0.25">
      <c r="K49" s="11"/>
    </row>
    <row r="51" spans="1:22" x14ac:dyDescent="0.25">
      <c r="A51" t="s">
        <v>33</v>
      </c>
      <c r="F51" s="26">
        <v>4.3860000000000001</v>
      </c>
      <c r="G51" s="26">
        <v>4.5449999999999999</v>
      </c>
      <c r="H51" s="26">
        <v>4.8079999999999998</v>
      </c>
      <c r="I51" s="26">
        <v>5.0049999999999999</v>
      </c>
      <c r="J51" s="26">
        <v>5.383</v>
      </c>
      <c r="K51" s="26">
        <v>5.9610000000000003</v>
      </c>
      <c r="L51" s="26">
        <v>6.9189999999999996</v>
      </c>
      <c r="M51" s="26">
        <v>7.944</v>
      </c>
      <c r="N51" s="26">
        <v>8.952</v>
      </c>
      <c r="O51" s="26">
        <v>9.8160000000000007</v>
      </c>
      <c r="P51" s="26">
        <v>11.039</v>
      </c>
      <c r="Q51" s="26">
        <v>12.941000000000001</v>
      </c>
      <c r="R51" s="26">
        <v>14.468</v>
      </c>
      <c r="S51" s="26">
        <v>16.234999999999999</v>
      </c>
      <c r="T51" s="26">
        <v>18.282</v>
      </c>
      <c r="U51" s="26">
        <v>20.103999999999999</v>
      </c>
    </row>
    <row r="52" spans="1:22" x14ac:dyDescent="0.25">
      <c r="A52" t="s">
        <v>36</v>
      </c>
      <c r="F52" s="16">
        <f>(F23*0.893)</f>
        <v>8.3094343703469189</v>
      </c>
      <c r="G52" s="16">
        <f t="shared" ref="G52:T52" si="9">(G23*0.893)</f>
        <v>8.3834883256367085</v>
      </c>
      <c r="H52" s="16">
        <f t="shared" si="9"/>
        <v>8.3459227287616962</v>
      </c>
      <c r="I52" s="16">
        <f t="shared" si="9"/>
        <v>8.2048756939010126</v>
      </c>
      <c r="J52" s="16">
        <f t="shared" si="9"/>
        <v>8.1940831937354943</v>
      </c>
      <c r="K52" s="16">
        <f t="shared" si="9"/>
        <v>8.5641951758944259</v>
      </c>
      <c r="L52" s="16">
        <f t="shared" si="9"/>
        <v>8.3039230195772546</v>
      </c>
      <c r="M52" s="16">
        <f t="shared" si="9"/>
        <v>8.2631575565247282</v>
      </c>
      <c r="N52" s="16">
        <f t="shared" si="9"/>
        <v>8.2594449558030938</v>
      </c>
      <c r="O52" s="16">
        <f t="shared" si="9"/>
        <v>8.180749099819776</v>
      </c>
      <c r="P52" s="16">
        <f t="shared" si="9"/>
        <v>8.0340484389578197</v>
      </c>
      <c r="Q52" s="16">
        <f t="shared" si="9"/>
        <v>8.2221374157491347</v>
      </c>
      <c r="R52" s="16">
        <f t="shared" si="9"/>
        <v>7.9031928143328143</v>
      </c>
      <c r="S52" s="16">
        <f t="shared" si="9"/>
        <v>7.9182886608501093</v>
      </c>
      <c r="T52" s="16">
        <f t="shared" si="9"/>
        <v>7.6876368630930774</v>
      </c>
      <c r="U52" s="16">
        <f t="shared" ref="U52" si="10">(U23*0.893)</f>
        <v>7.4311920785857186</v>
      </c>
    </row>
    <row r="53" spans="1:22" x14ac:dyDescent="0.25">
      <c r="A53" t="s">
        <v>37</v>
      </c>
      <c r="F53" s="11">
        <f>(F52*F51*10)</f>
        <v>364.45179148341589</v>
      </c>
      <c r="G53" s="11">
        <f t="shared" ref="G53:T53" si="11">(G52*G51*10)</f>
        <v>381.0295444001884</v>
      </c>
      <c r="H53" s="11">
        <f t="shared" si="11"/>
        <v>401.27196479886237</v>
      </c>
      <c r="I53" s="11">
        <f t="shared" si="11"/>
        <v>410.65402847974565</v>
      </c>
      <c r="J53" s="11">
        <f t="shared" si="11"/>
        <v>441.08749831878163</v>
      </c>
      <c r="K53" s="11">
        <f t="shared" si="11"/>
        <v>510.51167443506677</v>
      </c>
      <c r="L53" s="11">
        <f t="shared" si="11"/>
        <v>574.54843372455025</v>
      </c>
      <c r="M53" s="11">
        <f t="shared" si="11"/>
        <v>656.42523629032439</v>
      </c>
      <c r="N53" s="11">
        <f t="shared" si="11"/>
        <v>739.38551244349298</v>
      </c>
      <c r="O53" s="11">
        <f t="shared" si="11"/>
        <v>803.02233163830931</v>
      </c>
      <c r="P53" s="11">
        <f t="shared" si="11"/>
        <v>886.87860717655371</v>
      </c>
      <c r="Q53" s="11">
        <f t="shared" si="11"/>
        <v>1064.0268029720955</v>
      </c>
      <c r="R53" s="11">
        <f t="shared" si="11"/>
        <v>1143.4339363776714</v>
      </c>
      <c r="S53" s="11">
        <f t="shared" si="11"/>
        <v>1285.5341640890151</v>
      </c>
      <c r="T53" s="11">
        <f t="shared" si="11"/>
        <v>1405.4537713106765</v>
      </c>
      <c r="U53" s="11">
        <f t="shared" ref="U53" si="12">(U52*U51*10)</f>
        <v>1493.9668554788727</v>
      </c>
    </row>
    <row r="54" spans="1:22" x14ac:dyDescent="0.25">
      <c r="F54" s="13"/>
      <c r="G54" s="13"/>
      <c r="H54" s="13"/>
      <c r="I54" s="13"/>
      <c r="J54" s="13"/>
      <c r="K54" s="13"/>
      <c r="L54" s="13"/>
      <c r="M54" s="13"/>
      <c r="N54" s="13"/>
      <c r="O54" s="11"/>
      <c r="P54" s="11"/>
      <c r="Q54" s="11"/>
      <c r="R54" s="11"/>
      <c r="S54" s="11"/>
      <c r="T54" s="11"/>
    </row>
    <row r="56" spans="1:22" x14ac:dyDescent="0.25">
      <c r="A56" s="2" t="s">
        <v>28</v>
      </c>
    </row>
    <row r="57" spans="1:22" x14ac:dyDescent="0.25">
      <c r="A57" t="s">
        <v>38</v>
      </c>
      <c r="F57">
        <v>6.91</v>
      </c>
      <c r="G57">
        <v>6.99</v>
      </c>
      <c r="H57">
        <v>7.01</v>
      </c>
      <c r="I57">
        <v>6.99</v>
      </c>
      <c r="J57">
        <v>7.01</v>
      </c>
      <c r="K57">
        <v>7.02</v>
      </c>
      <c r="L57">
        <v>6.77</v>
      </c>
      <c r="M57">
        <v>6.82</v>
      </c>
      <c r="N57">
        <v>6.68</v>
      </c>
      <c r="O57">
        <v>6.28</v>
      </c>
      <c r="P57">
        <v>5.77</v>
      </c>
      <c r="Q57">
        <v>5.49</v>
      </c>
      <c r="R57">
        <v>5.35</v>
      </c>
      <c r="S57">
        <v>5.19</v>
      </c>
      <c r="T57">
        <v>5.15</v>
      </c>
      <c r="V57" t="s">
        <v>32</v>
      </c>
    </row>
    <row r="58" spans="1:22" x14ac:dyDescent="0.25">
      <c r="A58" t="s">
        <v>30</v>
      </c>
      <c r="F58">
        <v>6.19</v>
      </c>
      <c r="G58">
        <v>6.28</v>
      </c>
      <c r="H58">
        <v>6.12</v>
      </c>
      <c r="I58">
        <v>6.22</v>
      </c>
      <c r="J58">
        <v>6.36</v>
      </c>
      <c r="K58">
        <v>6.32</v>
      </c>
      <c r="L58">
        <v>6.41</v>
      </c>
      <c r="M58">
        <v>6.33</v>
      </c>
      <c r="N58">
        <v>5.87</v>
      </c>
      <c r="O58">
        <v>5.29</v>
      </c>
      <c r="P58">
        <v>5.0199999999999996</v>
      </c>
      <c r="Q58">
        <v>4.8899999999999997</v>
      </c>
      <c r="R58">
        <v>4.76</v>
      </c>
      <c r="S58">
        <v>4.6399999999999997</v>
      </c>
      <c r="T58">
        <v>4.57</v>
      </c>
    </row>
    <row r="59" spans="1:22" x14ac:dyDescent="0.25">
      <c r="A59" t="s">
        <v>31</v>
      </c>
      <c r="F59" s="15">
        <f>(F58/F57)</f>
        <v>0.89580318379160639</v>
      </c>
      <c r="G59" s="15">
        <f t="shared" ref="G59:T59" si="13">(G58/G57)</f>
        <v>0.89842632331902716</v>
      </c>
      <c r="H59" s="15">
        <f t="shared" si="13"/>
        <v>0.87303851640513552</v>
      </c>
      <c r="I59" s="15">
        <f t="shared" si="13"/>
        <v>0.88984263233190264</v>
      </c>
      <c r="J59" s="15">
        <f t="shared" si="13"/>
        <v>0.90727532097004282</v>
      </c>
      <c r="K59" s="15">
        <f t="shared" si="13"/>
        <v>0.90028490028490038</v>
      </c>
      <c r="L59" s="15">
        <f t="shared" si="13"/>
        <v>0.94682422451994097</v>
      </c>
      <c r="M59" s="15">
        <f t="shared" si="13"/>
        <v>0.92815249266862165</v>
      </c>
      <c r="N59" s="15">
        <f t="shared" si="13"/>
        <v>0.87874251497005995</v>
      </c>
      <c r="O59" s="15">
        <f t="shared" si="13"/>
        <v>0.84235668789808915</v>
      </c>
      <c r="P59" s="15">
        <f t="shared" si="13"/>
        <v>0.87001733102253032</v>
      </c>
      <c r="Q59" s="15">
        <f t="shared" si="13"/>
        <v>0.89071038251366108</v>
      </c>
      <c r="R59" s="15">
        <f t="shared" si="13"/>
        <v>0.88971962616822431</v>
      </c>
      <c r="S59" s="15">
        <f t="shared" si="13"/>
        <v>0.89402697495183037</v>
      </c>
      <c r="T59" s="15">
        <f t="shared" si="13"/>
        <v>0.88737864077669903</v>
      </c>
      <c r="V59" s="14">
        <f>SUM(F59:T59)/15</f>
        <v>0.89283998350615146</v>
      </c>
    </row>
    <row r="61" spans="1:22" x14ac:dyDescent="0.25">
      <c r="A61" s="2" t="s">
        <v>39</v>
      </c>
    </row>
    <row r="62" spans="1:22" x14ac:dyDescent="0.25">
      <c r="A62" t="s">
        <v>42</v>
      </c>
      <c r="B62" s="1">
        <f>(B13)</f>
        <v>1181.50125</v>
      </c>
      <c r="C62" s="1">
        <f t="shared" ref="C62:U62" si="14">(C13)</f>
        <v>1210.18</v>
      </c>
      <c r="D62" s="1">
        <f t="shared" si="14"/>
        <v>1302.7225000000001</v>
      </c>
      <c r="E62" s="1">
        <f t="shared" si="14"/>
        <v>1339.575</v>
      </c>
      <c r="F62" s="1">
        <f t="shared" si="14"/>
        <v>1364.8775000000001</v>
      </c>
      <c r="G62" s="1">
        <f t="shared" si="14"/>
        <v>1454.6324999999999</v>
      </c>
      <c r="H62" s="1">
        <f t="shared" si="14"/>
        <v>1497.8075000000001</v>
      </c>
      <c r="I62" s="1">
        <f t="shared" si="14"/>
        <v>1516.03125</v>
      </c>
      <c r="J62" s="1">
        <f t="shared" si="14"/>
        <v>1554.9337499999999</v>
      </c>
      <c r="K62" s="1">
        <f t="shared" si="14"/>
        <v>1684.9337500000001</v>
      </c>
      <c r="L62" s="1">
        <f t="shared" si="14"/>
        <v>1676.99</v>
      </c>
      <c r="M62" s="1">
        <f t="shared" si="14"/>
        <v>1695.8175000000001</v>
      </c>
      <c r="N62" s="1">
        <f t="shared" si="14"/>
        <v>1656.9425000000001</v>
      </c>
      <c r="O62" s="1">
        <f t="shared" si="14"/>
        <v>1537.2175</v>
      </c>
      <c r="P62" s="1">
        <f t="shared" si="14"/>
        <v>1393.3675000000001</v>
      </c>
      <c r="Q62" s="1">
        <f t="shared" si="14"/>
        <v>1352.62625</v>
      </c>
      <c r="R62" s="1">
        <f t="shared" si="14"/>
        <v>1224.0350000000001</v>
      </c>
      <c r="S62" s="1">
        <f t="shared" si="14"/>
        <v>1180.1275000000001</v>
      </c>
      <c r="T62" s="1">
        <f t="shared" si="14"/>
        <v>1092.0350000000001</v>
      </c>
      <c r="U62" s="1">
        <f t="shared" si="14"/>
        <v>976.74374999999998</v>
      </c>
    </row>
    <row r="63" spans="1:22" x14ac:dyDescent="0.25">
      <c r="A63" t="s">
        <v>44</v>
      </c>
      <c r="B63" s="9">
        <f>(B39)</f>
        <v>300</v>
      </c>
      <c r="C63" s="10">
        <f t="shared" ref="C63:T63" si="15">(C39)</f>
        <v>321.59999999999997</v>
      </c>
      <c r="D63" s="10">
        <f t="shared" si="15"/>
        <v>338.4</v>
      </c>
      <c r="E63" s="10">
        <f t="shared" si="15"/>
        <v>349.2</v>
      </c>
      <c r="F63" s="10">
        <f t="shared" si="15"/>
        <v>315.72823147999799</v>
      </c>
      <c r="G63" s="10">
        <f t="shared" si="15"/>
        <v>330.08970460932721</v>
      </c>
      <c r="H63" s="10">
        <f t="shared" si="15"/>
        <v>347.62591582490251</v>
      </c>
      <c r="I63" s="10">
        <f t="shared" si="15"/>
        <v>355.75369141228845</v>
      </c>
      <c r="J63" s="10">
        <f t="shared" si="15"/>
        <v>382.11851066854371</v>
      </c>
      <c r="K63" s="10">
        <f t="shared" si="15"/>
        <v>442.26136867984269</v>
      </c>
      <c r="L63" s="10">
        <f t="shared" si="15"/>
        <v>497.73705361991512</v>
      </c>
      <c r="M63" s="10">
        <f t="shared" si="15"/>
        <v>568.66774645067096</v>
      </c>
      <c r="N63" s="10">
        <f t="shared" si="15"/>
        <v>640.5370632849224</v>
      </c>
      <c r="O63" s="10">
        <f t="shared" si="15"/>
        <v>695.66627612158379</v>
      </c>
      <c r="P63" s="10">
        <f t="shared" si="15"/>
        <v>768.31180618312032</v>
      </c>
      <c r="Q63" s="10">
        <f t="shared" si="15"/>
        <v>921.77705968275609</v>
      </c>
      <c r="R63" s="10">
        <f t="shared" si="15"/>
        <v>990.56825342334059</v>
      </c>
      <c r="S63" s="10">
        <f t="shared" si="15"/>
        <v>1113.6711016919546</v>
      </c>
      <c r="T63" s="10">
        <f t="shared" si="15"/>
        <v>1217.5586566241523</v>
      </c>
      <c r="U63" s="10">
        <f t="shared" ref="U63" si="16">(U39)</f>
        <v>1294.2384265699022</v>
      </c>
    </row>
    <row r="64" spans="1:22" x14ac:dyDescent="0.25">
      <c r="A64" t="s">
        <v>43</v>
      </c>
      <c r="B64" s="1">
        <f>(B62+B63)</f>
        <v>1481.50125</v>
      </c>
      <c r="C64" s="1">
        <f t="shared" ref="C64:T64" si="17">(C62+C63)</f>
        <v>1531.78</v>
      </c>
      <c r="D64" s="1">
        <f t="shared" si="17"/>
        <v>1641.1224999999999</v>
      </c>
      <c r="E64" s="1">
        <f t="shared" si="17"/>
        <v>1688.7750000000001</v>
      </c>
      <c r="F64" s="1">
        <f t="shared" si="17"/>
        <v>1680.605731479998</v>
      </c>
      <c r="G64" s="1">
        <f t="shared" si="17"/>
        <v>1784.722204609327</v>
      </c>
      <c r="H64" s="1">
        <f t="shared" si="17"/>
        <v>1845.4334158249026</v>
      </c>
      <c r="I64" s="1">
        <f t="shared" si="17"/>
        <v>1871.7849414122884</v>
      </c>
      <c r="J64" s="1">
        <f t="shared" si="17"/>
        <v>1937.0522606685436</v>
      </c>
      <c r="K64" s="1">
        <f t="shared" si="17"/>
        <v>2127.1951186798428</v>
      </c>
      <c r="L64" s="1">
        <f t="shared" si="17"/>
        <v>2174.7270536199153</v>
      </c>
      <c r="M64" s="1">
        <f t="shared" si="17"/>
        <v>2264.4852464506712</v>
      </c>
      <c r="N64" s="1">
        <f t="shared" si="17"/>
        <v>2297.4795632849227</v>
      </c>
      <c r="O64" s="1">
        <f t="shared" si="17"/>
        <v>2232.8837761215837</v>
      </c>
      <c r="P64" s="1">
        <f t="shared" si="17"/>
        <v>2161.6793061831204</v>
      </c>
      <c r="Q64" s="1">
        <f t="shared" si="17"/>
        <v>2274.4033096827561</v>
      </c>
      <c r="R64" s="1">
        <f t="shared" si="17"/>
        <v>2214.6032534233409</v>
      </c>
      <c r="S64" s="1">
        <f t="shared" si="17"/>
        <v>2293.7986016919549</v>
      </c>
      <c r="T64" s="1">
        <f t="shared" si="17"/>
        <v>2309.5936566241526</v>
      </c>
      <c r="U64" s="1">
        <f t="shared" ref="U64" si="18">(U62+U63)</f>
        <v>2270.9821765699021</v>
      </c>
    </row>
    <row r="65" spans="1:21" x14ac:dyDescent="0.25">
      <c r="A65" t="s">
        <v>40</v>
      </c>
      <c r="B65" s="20">
        <f>(B64/2443*100)</f>
        <v>60.642703643061814</v>
      </c>
      <c r="C65" s="20">
        <f>(C64/2294*100)</f>
        <v>66.773321708805582</v>
      </c>
      <c r="D65" s="20">
        <f t="shared" ref="D65:U65" si="19">(D64/2294*100)</f>
        <v>71.53977768090671</v>
      </c>
      <c r="E65" s="20">
        <f t="shared" si="19"/>
        <v>73.617044463818658</v>
      </c>
      <c r="F65" s="20">
        <f t="shared" si="19"/>
        <v>73.260929881429732</v>
      </c>
      <c r="G65" s="20">
        <f t="shared" si="19"/>
        <v>77.799572999534746</v>
      </c>
      <c r="H65" s="20">
        <f t="shared" si="19"/>
        <v>80.446094848513624</v>
      </c>
      <c r="I65" s="20">
        <f t="shared" si="19"/>
        <v>81.594810000535674</v>
      </c>
      <c r="J65" s="20">
        <f t="shared" si="19"/>
        <v>84.439941615891172</v>
      </c>
      <c r="K65" s="20">
        <f t="shared" si="19"/>
        <v>92.728645103742053</v>
      </c>
      <c r="L65" s="20">
        <f t="shared" si="19"/>
        <v>94.800656217084367</v>
      </c>
      <c r="M65" s="20">
        <f t="shared" si="19"/>
        <v>98.713393480848794</v>
      </c>
      <c r="N65" s="20">
        <f t="shared" si="19"/>
        <v>100.15168104990946</v>
      </c>
      <c r="O65" s="20">
        <f t="shared" si="19"/>
        <v>97.335822847497113</v>
      </c>
      <c r="P65" s="20">
        <f t="shared" si="19"/>
        <v>94.231879083832624</v>
      </c>
      <c r="Q65" s="20">
        <f t="shared" si="19"/>
        <v>99.145741485734789</v>
      </c>
      <c r="R65" s="20">
        <f t="shared" si="19"/>
        <v>96.538938684539715</v>
      </c>
      <c r="S65" s="20">
        <f t="shared" si="19"/>
        <v>99.99122064916979</v>
      </c>
      <c r="T65" s="20">
        <f t="shared" si="19"/>
        <v>100.67975835327604</v>
      </c>
      <c r="U65" s="20">
        <f t="shared" si="19"/>
        <v>98.996607522663567</v>
      </c>
    </row>
    <row r="67" spans="1:21" x14ac:dyDescent="0.25">
      <c r="A67" s="2" t="s">
        <v>54</v>
      </c>
    </row>
    <row r="68" spans="1:21" x14ac:dyDescent="0.25">
      <c r="A68" t="s">
        <v>53</v>
      </c>
      <c r="C68">
        <v>93.85</v>
      </c>
      <c r="D68">
        <v>100.37</v>
      </c>
      <c r="E68">
        <v>108.88</v>
      </c>
      <c r="F68" s="20">
        <v>119.56</v>
      </c>
      <c r="G68" s="20">
        <v>122.8</v>
      </c>
      <c r="H68" s="20">
        <v>125.23</v>
      </c>
      <c r="I68" s="20">
        <v>132.16</v>
      </c>
      <c r="J68" s="20">
        <v>141.4</v>
      </c>
      <c r="K68" s="20">
        <v>149.1</v>
      </c>
      <c r="L68" s="20">
        <v>159.1</v>
      </c>
      <c r="M68" s="20">
        <v>162.30000000000001</v>
      </c>
      <c r="N68" s="20">
        <v>156.1</v>
      </c>
      <c r="O68" s="20">
        <v>144</v>
      </c>
      <c r="P68" s="20">
        <v>149.4</v>
      </c>
      <c r="Q68" s="20">
        <v>143.4</v>
      </c>
      <c r="R68" s="20">
        <v>142.9</v>
      </c>
      <c r="S68" s="20">
        <v>149.69999999999999</v>
      </c>
      <c r="T68" s="20">
        <f>(S68*1.05)</f>
        <v>157.185</v>
      </c>
      <c r="U68" s="20">
        <f>(T68*1.05)</f>
        <v>165.04425000000001</v>
      </c>
    </row>
    <row r="70" spans="1:21" x14ac:dyDescent="0.25">
      <c r="A70" s="21" t="s">
        <v>73</v>
      </c>
      <c r="B70" s="21"/>
      <c r="C70" s="23">
        <f>(C68/149.7*100)</f>
        <v>62.692050768203075</v>
      </c>
      <c r="D70" s="23">
        <f t="shared" ref="D70:U70" si="20">(D68/149.7*100)</f>
        <v>67.047428189712761</v>
      </c>
      <c r="E70" s="23">
        <f t="shared" si="20"/>
        <v>72.732130928523716</v>
      </c>
      <c r="F70" s="23">
        <f t="shared" si="20"/>
        <v>79.866399465597866</v>
      </c>
      <c r="G70" s="23">
        <f t="shared" si="20"/>
        <v>82.030728122912507</v>
      </c>
      <c r="H70" s="23">
        <f t="shared" si="20"/>
        <v>83.653974615898477</v>
      </c>
      <c r="I70" s="23">
        <f t="shared" si="20"/>
        <v>88.283233132932537</v>
      </c>
      <c r="J70" s="23">
        <f t="shared" si="20"/>
        <v>94.455577822311298</v>
      </c>
      <c r="K70" s="23">
        <f t="shared" si="20"/>
        <v>99.599198396793582</v>
      </c>
      <c r="L70" s="23">
        <f t="shared" si="20"/>
        <v>106.27922511690046</v>
      </c>
      <c r="M70" s="23">
        <f t="shared" si="20"/>
        <v>108.41683366733467</v>
      </c>
      <c r="N70" s="23">
        <f t="shared" si="20"/>
        <v>104.2752171008684</v>
      </c>
      <c r="O70" s="23">
        <f t="shared" si="20"/>
        <v>96.192384769539089</v>
      </c>
      <c r="P70" s="23">
        <f t="shared" si="20"/>
        <v>99.799599198396805</v>
      </c>
      <c r="Q70" s="23">
        <f t="shared" si="20"/>
        <v>95.791583166332671</v>
      </c>
      <c r="R70" s="23">
        <f t="shared" si="20"/>
        <v>95.457581830327328</v>
      </c>
      <c r="S70" s="23">
        <f t="shared" si="20"/>
        <v>100</v>
      </c>
      <c r="T70" s="23">
        <f t="shared" si="20"/>
        <v>105</v>
      </c>
      <c r="U70" s="23">
        <f t="shared" si="20"/>
        <v>110.25</v>
      </c>
    </row>
    <row r="71" spans="1:21" x14ac:dyDescent="0.25">
      <c r="A71" t="s">
        <v>41</v>
      </c>
      <c r="C71" s="23">
        <f>(C65/C70)*100</f>
        <v>106.51002940658705</v>
      </c>
      <c r="D71" s="23">
        <f t="shared" ref="D71:U71" si="21">(D65/D70)*100</f>
        <v>106.7002562402285</v>
      </c>
      <c r="E71" s="23">
        <f t="shared" si="21"/>
        <v>101.21667483682634</v>
      </c>
      <c r="F71" s="23">
        <f t="shared" si="21"/>
        <v>91.729350980679413</v>
      </c>
      <c r="G71" s="23">
        <f>(G65/G70)*100</f>
        <v>94.841987606110337</v>
      </c>
      <c r="H71" s="23">
        <f t="shared" si="21"/>
        <v>96.165299040345658</v>
      </c>
      <c r="I71" s="23">
        <f t="shared" si="21"/>
        <v>92.423903276938475</v>
      </c>
      <c r="J71" s="23">
        <f t="shared" si="21"/>
        <v>89.396458698012069</v>
      </c>
      <c r="K71" s="23">
        <f t="shared" si="21"/>
        <v>93.10179860516557</v>
      </c>
      <c r="L71" s="23">
        <f t="shared" si="21"/>
        <v>89.199611789425077</v>
      </c>
      <c r="M71" s="23">
        <f t="shared" si="21"/>
        <v>91.049876796568469</v>
      </c>
      <c r="N71" s="23">
        <f t="shared" si="21"/>
        <v>96.045526285531352</v>
      </c>
      <c r="O71" s="23">
        <f t="shared" si="21"/>
        <v>101.18869916854388</v>
      </c>
      <c r="P71" s="23">
        <f t="shared" si="21"/>
        <v>94.421099724563192</v>
      </c>
      <c r="Q71" s="23">
        <f t="shared" si="21"/>
        <v>103.50151673929217</v>
      </c>
      <c r="R71" s="23">
        <f t="shared" si="21"/>
        <v>101.13281400332816</v>
      </c>
      <c r="S71" s="23">
        <f t="shared" si="21"/>
        <v>99.99122064916979</v>
      </c>
      <c r="T71" s="23">
        <f t="shared" si="21"/>
        <v>95.885484145977188</v>
      </c>
      <c r="U71" s="23">
        <f t="shared" si="21"/>
        <v>89.792841290397803</v>
      </c>
    </row>
    <row r="74" spans="1:21" x14ac:dyDescent="0.25">
      <c r="B74" s="2">
        <v>1996</v>
      </c>
      <c r="C74" s="2">
        <v>1997</v>
      </c>
      <c r="D74" s="2">
        <v>1998</v>
      </c>
      <c r="E74" s="2">
        <v>1999</v>
      </c>
      <c r="F74" s="2">
        <v>2000</v>
      </c>
      <c r="G74" s="2">
        <v>2001</v>
      </c>
      <c r="H74" s="2">
        <v>2002</v>
      </c>
      <c r="I74" s="2">
        <v>2003</v>
      </c>
      <c r="J74" s="2">
        <v>2004</v>
      </c>
      <c r="K74" s="2">
        <v>2005</v>
      </c>
      <c r="L74" s="2">
        <v>2006</v>
      </c>
      <c r="M74" s="2">
        <v>2007</v>
      </c>
      <c r="N74" s="2">
        <v>2008</v>
      </c>
      <c r="O74" s="2">
        <v>2009</v>
      </c>
      <c r="P74" s="2">
        <v>2010</v>
      </c>
      <c r="Q74" s="2">
        <v>2011</v>
      </c>
      <c r="R74" s="2">
        <v>2012</v>
      </c>
      <c r="S74" s="2">
        <v>2013</v>
      </c>
      <c r="T74" s="2">
        <v>2014</v>
      </c>
      <c r="U74" s="2">
        <v>2015</v>
      </c>
    </row>
    <row r="75" spans="1:21" x14ac:dyDescent="0.25">
      <c r="A75" s="2" t="s">
        <v>39</v>
      </c>
    </row>
    <row r="76" spans="1:21" x14ac:dyDescent="0.25">
      <c r="A76" s="2" t="s">
        <v>74</v>
      </c>
      <c r="B76" s="20">
        <v>60.642703643061814</v>
      </c>
      <c r="C76" s="23">
        <v>66.773321708805582</v>
      </c>
      <c r="D76" s="23">
        <v>71.53977768090671</v>
      </c>
      <c r="E76" s="23">
        <v>73.617044463818658</v>
      </c>
      <c r="F76" s="23">
        <v>73.260929881429732</v>
      </c>
      <c r="G76" s="23">
        <v>77.799572999534746</v>
      </c>
      <c r="H76" s="23">
        <v>80.446094848513624</v>
      </c>
      <c r="I76" s="23">
        <v>81.594810000535674</v>
      </c>
      <c r="J76" s="23">
        <v>84.439941615891172</v>
      </c>
      <c r="K76" s="23">
        <v>92.728645103742053</v>
      </c>
      <c r="L76" s="23">
        <v>94.800656217084367</v>
      </c>
      <c r="M76" s="23">
        <v>98.713393480848794</v>
      </c>
      <c r="N76" s="23">
        <v>100.15168104990946</v>
      </c>
      <c r="O76" s="23">
        <v>97.335822847497113</v>
      </c>
      <c r="P76" s="23">
        <v>94.231879083832624</v>
      </c>
      <c r="Q76" s="23">
        <v>99.145741485734789</v>
      </c>
      <c r="R76" s="23">
        <v>96.538938684539715</v>
      </c>
      <c r="S76" s="23">
        <v>99.99122064916979</v>
      </c>
      <c r="T76" s="23">
        <v>100.67975835327604</v>
      </c>
      <c r="U76" s="23">
        <v>98.996607522663567</v>
      </c>
    </row>
    <row r="78" spans="1:21" x14ac:dyDescent="0.25">
      <c r="A78" s="2" t="s">
        <v>88</v>
      </c>
    </row>
    <row r="79" spans="1:21" x14ac:dyDescent="0.25">
      <c r="A79" s="2" t="s">
        <v>40</v>
      </c>
      <c r="B79" s="20">
        <f>(B38/801)*100</f>
        <v>93.748404494382015</v>
      </c>
      <c r="C79" s="20">
        <f t="shared" ref="C79:U79" si="22">(C38/801)*100</f>
        <v>71.851420724094879</v>
      </c>
      <c r="D79" s="20">
        <f t="shared" si="22"/>
        <v>80.209695880149809</v>
      </c>
      <c r="E79" s="20">
        <f t="shared" si="22"/>
        <v>91.44974581772783</v>
      </c>
      <c r="F79" s="20">
        <f t="shared" si="22"/>
        <v>118.26098733083671</v>
      </c>
      <c r="G79" s="20">
        <f t="shared" si="22"/>
        <v>130.22615323229371</v>
      </c>
      <c r="H79" s="20">
        <f t="shared" si="22"/>
        <v>132.53880201936298</v>
      </c>
      <c r="I79" s="20">
        <f t="shared" si="22"/>
        <v>143.60683128435849</v>
      </c>
      <c r="J79" s="20">
        <f t="shared" si="22"/>
        <v>160.26241140217931</v>
      </c>
      <c r="K79" s="20">
        <f t="shared" si="22"/>
        <v>171.44286008990727</v>
      </c>
      <c r="L79" s="20">
        <f t="shared" si="22"/>
        <v>180.17867245693944</v>
      </c>
      <c r="M79" s="20">
        <f t="shared" si="22"/>
        <v>200.5220770972945</v>
      </c>
      <c r="N79" s="20">
        <f t="shared" si="22"/>
        <v>178.2714837347163</v>
      </c>
      <c r="O79" s="20">
        <f t="shared" si="22"/>
        <v>144.59658974761746</v>
      </c>
      <c r="P79" s="20">
        <f t="shared" si="22"/>
        <v>121.89687013943569</v>
      </c>
      <c r="Q79" s="20">
        <f t="shared" si="22"/>
        <v>106.06222975246492</v>
      </c>
      <c r="R79" s="20">
        <f t="shared" si="22"/>
        <v>91.866718923428138</v>
      </c>
      <c r="S79" s="20">
        <f t="shared" si="22"/>
        <v>99.976724383026891</v>
      </c>
      <c r="T79" s="20">
        <f t="shared" si="22"/>
        <v>100.28189355503719</v>
      </c>
      <c r="U79" s="20">
        <f t="shared" si="22"/>
        <v>108.30624662048662</v>
      </c>
    </row>
    <row r="81" spans="1:18" x14ac:dyDescent="0.25">
      <c r="A81" s="2" t="s">
        <v>120</v>
      </c>
      <c r="L81">
        <v>17687</v>
      </c>
      <c r="R81">
        <v>9895</v>
      </c>
    </row>
    <row r="82" spans="1:18" x14ac:dyDescent="0.25">
      <c r="A82" s="2" t="s">
        <v>89</v>
      </c>
      <c r="L82" s="27">
        <f>(1443/L81)</f>
        <v>8.1585345168768017E-2</v>
      </c>
      <c r="R82" s="27">
        <f>(736/R81)</f>
        <v>7.4381000505305717E-2</v>
      </c>
    </row>
  </sheetData>
  <mergeCells count="11">
    <mergeCell ref="A1:V3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scale="44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opLeftCell="A46" zoomScale="75" zoomScaleNormal="75" workbookViewId="0">
      <selection activeCell="G54" sqref="G54"/>
    </sheetView>
  </sheetViews>
  <sheetFormatPr defaultRowHeight="15" x14ac:dyDescent="0.25"/>
  <cols>
    <col min="1" max="1" width="63.5703125" customWidth="1"/>
  </cols>
  <sheetData>
    <row r="1" spans="1:23" x14ac:dyDescent="0.25">
      <c r="A1" s="41" t="s">
        <v>134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18.75" customHeight="1" x14ac:dyDescent="0.25">
      <c r="A3" s="44" t="s">
        <v>92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ht="18.7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18.75" x14ac:dyDescent="0.3">
      <c r="A5" s="28"/>
      <c r="B5" s="28">
        <v>1994</v>
      </c>
      <c r="C5" s="28">
        <v>1995</v>
      </c>
      <c r="D5" s="28">
        <v>1996</v>
      </c>
      <c r="E5" s="28">
        <v>1997</v>
      </c>
      <c r="F5" s="28">
        <v>1998</v>
      </c>
      <c r="G5" s="28">
        <v>1999</v>
      </c>
      <c r="H5" s="28">
        <v>2000</v>
      </c>
      <c r="I5" s="28">
        <v>2001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18.75" x14ac:dyDescent="0.3">
      <c r="A6" s="29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18.75" x14ac:dyDescent="0.3">
      <c r="A7" s="30" t="s">
        <v>93</v>
      </c>
      <c r="B7" s="28">
        <v>66.599999999999994</v>
      </c>
      <c r="C7" s="28">
        <v>66.7</v>
      </c>
      <c r="D7" s="28">
        <v>66.8</v>
      </c>
      <c r="E7" s="28">
        <v>89.2</v>
      </c>
      <c r="F7" s="31">
        <v>97</v>
      </c>
      <c r="G7" s="28">
        <v>98.7</v>
      </c>
      <c r="H7" s="31">
        <v>128.9</v>
      </c>
      <c r="I7" s="28">
        <v>124.5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18.75" x14ac:dyDescent="0.3">
      <c r="A8" s="30" t="s">
        <v>94</v>
      </c>
      <c r="B8" s="31">
        <v>70</v>
      </c>
      <c r="C8" s="28">
        <v>69.7</v>
      </c>
      <c r="D8" s="28">
        <v>71.3</v>
      </c>
      <c r="E8" s="28">
        <v>81.099999999999994</v>
      </c>
      <c r="F8" s="28">
        <v>75.400000000000006</v>
      </c>
      <c r="G8" s="28">
        <v>73.5</v>
      </c>
      <c r="H8" s="28">
        <v>87.2</v>
      </c>
      <c r="I8" s="28">
        <v>91.3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18.75" x14ac:dyDescent="0.3">
      <c r="A9" s="30" t="s">
        <v>96</v>
      </c>
      <c r="B9" s="31">
        <f>(B8-B7)</f>
        <v>3.4000000000000057</v>
      </c>
      <c r="C9" s="31">
        <f t="shared" ref="C9:I9" si="0">(C8-C7)</f>
        <v>3</v>
      </c>
      <c r="D9" s="31">
        <f t="shared" si="0"/>
        <v>4.5</v>
      </c>
      <c r="E9" s="31">
        <f t="shared" si="0"/>
        <v>-8.1000000000000085</v>
      </c>
      <c r="F9" s="31">
        <f t="shared" si="0"/>
        <v>-21.599999999999994</v>
      </c>
      <c r="G9" s="31">
        <f t="shared" si="0"/>
        <v>-25.200000000000003</v>
      </c>
      <c r="H9" s="31">
        <f t="shared" si="0"/>
        <v>-41.7</v>
      </c>
      <c r="I9" s="31">
        <f t="shared" si="0"/>
        <v>-33.200000000000003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18.75" x14ac:dyDescent="0.3">
      <c r="A10" s="30" t="s">
        <v>95</v>
      </c>
      <c r="B10" s="28">
        <v>567</v>
      </c>
      <c r="C10" s="28">
        <v>523</v>
      </c>
      <c r="D10" s="28">
        <v>508</v>
      </c>
      <c r="E10" s="28">
        <v>466</v>
      </c>
      <c r="F10" s="28">
        <v>417</v>
      </c>
      <c r="G10" s="28">
        <v>340</v>
      </c>
      <c r="H10" s="28">
        <v>292</v>
      </c>
      <c r="I10" s="28">
        <v>317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18.75" x14ac:dyDescent="0.3">
      <c r="A11" s="30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18.75" x14ac:dyDescent="0.3">
      <c r="A12" s="29" t="s">
        <v>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18.75" x14ac:dyDescent="0.3">
      <c r="A13" s="30" t="s">
        <v>93</v>
      </c>
      <c r="B13" s="28">
        <v>67.099999999999994</v>
      </c>
      <c r="C13" s="28">
        <v>66.900000000000006</v>
      </c>
      <c r="D13" s="31">
        <v>68</v>
      </c>
      <c r="E13" s="28">
        <v>90.4</v>
      </c>
      <c r="F13" s="28">
        <v>97.8</v>
      </c>
      <c r="G13" s="28">
        <v>101.6</v>
      </c>
      <c r="H13" s="28">
        <v>129.6</v>
      </c>
      <c r="I13" s="28">
        <v>128.30000000000001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8.75" x14ac:dyDescent="0.3">
      <c r="A14" s="30" t="s">
        <v>94</v>
      </c>
      <c r="B14" s="31">
        <v>67</v>
      </c>
      <c r="C14" s="28">
        <v>65.900000000000006</v>
      </c>
      <c r="D14" s="28">
        <v>69.400000000000006</v>
      </c>
      <c r="E14" s="28">
        <v>78.599999999999994</v>
      </c>
      <c r="F14" s="28">
        <v>71.7</v>
      </c>
      <c r="G14" s="28">
        <v>68.900000000000006</v>
      </c>
      <c r="H14" s="28">
        <v>80.5</v>
      </c>
      <c r="I14" s="28">
        <v>84.2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18.75" x14ac:dyDescent="0.3">
      <c r="A15" s="30" t="s">
        <v>96</v>
      </c>
      <c r="B15" s="31">
        <f>(B14-B13)</f>
        <v>-9.9999999999994316E-2</v>
      </c>
      <c r="C15" s="31">
        <f t="shared" ref="C15:I15" si="1">(C14-C13)</f>
        <v>-1</v>
      </c>
      <c r="D15" s="31">
        <f t="shared" si="1"/>
        <v>1.4000000000000057</v>
      </c>
      <c r="E15" s="31">
        <f t="shared" si="1"/>
        <v>-11.800000000000011</v>
      </c>
      <c r="F15" s="31">
        <f t="shared" si="1"/>
        <v>-26.099999999999994</v>
      </c>
      <c r="G15" s="31">
        <f t="shared" si="1"/>
        <v>-32.699999999999989</v>
      </c>
      <c r="H15" s="31">
        <f t="shared" si="1"/>
        <v>-49.099999999999994</v>
      </c>
      <c r="I15" s="31">
        <f t="shared" si="1"/>
        <v>-44.100000000000009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18.75" x14ac:dyDescent="0.3">
      <c r="A16" s="30" t="s">
        <v>95</v>
      </c>
      <c r="B16" s="28">
        <v>377</v>
      </c>
      <c r="C16" s="28">
        <v>350</v>
      </c>
      <c r="D16" s="28">
        <v>374</v>
      </c>
      <c r="E16" s="28">
        <v>338</v>
      </c>
      <c r="F16" s="28">
        <v>274</v>
      </c>
      <c r="G16" s="28">
        <v>212</v>
      </c>
      <c r="H16" s="28">
        <v>150</v>
      </c>
      <c r="I16" s="28">
        <v>171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8.75" x14ac:dyDescent="0.3">
      <c r="A17" s="30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x14ac:dyDescent="0.25">
      <c r="A18" s="43" t="s">
        <v>91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1:23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">
        <v>1994</v>
      </c>
      <c r="C22" s="4">
        <v>1995</v>
      </c>
      <c r="D22" s="4">
        <v>1996</v>
      </c>
      <c r="E22" s="4">
        <v>1997</v>
      </c>
      <c r="F22" s="4">
        <v>1998</v>
      </c>
      <c r="G22" s="4">
        <v>1999</v>
      </c>
      <c r="H22" s="4">
        <v>2000</v>
      </c>
      <c r="I22" s="4">
        <v>2001</v>
      </c>
      <c r="J22" s="4">
        <v>2002</v>
      </c>
      <c r="K22" s="4">
        <v>2003</v>
      </c>
      <c r="L22" s="4">
        <v>2004</v>
      </c>
      <c r="M22" s="4">
        <v>2005</v>
      </c>
      <c r="N22" s="4">
        <v>2006</v>
      </c>
      <c r="O22" s="4">
        <v>2007</v>
      </c>
      <c r="P22" s="4">
        <v>2008</v>
      </c>
      <c r="Q22" s="4">
        <v>2009</v>
      </c>
      <c r="R22" s="4">
        <v>2010</v>
      </c>
      <c r="S22" s="4">
        <v>2011</v>
      </c>
      <c r="T22" s="4">
        <v>2012</v>
      </c>
      <c r="U22" s="4">
        <v>2013</v>
      </c>
      <c r="V22" s="4">
        <v>2014</v>
      </c>
      <c r="W22" s="4">
        <v>2015</v>
      </c>
    </row>
    <row r="23" spans="1:23" x14ac:dyDescent="0.25">
      <c r="A23" s="4" t="s">
        <v>98</v>
      </c>
      <c r="B23" s="4">
        <v>566.6</v>
      </c>
      <c r="C23" s="4">
        <v>522.9</v>
      </c>
      <c r="D23" s="4">
        <v>508.4</v>
      </c>
      <c r="E23" s="4">
        <v>466.3</v>
      </c>
      <c r="F23" s="4">
        <v>416.6</v>
      </c>
      <c r="G23" s="4">
        <v>339.7</v>
      </c>
      <c r="H23" s="4">
        <v>292.10000000000002</v>
      </c>
      <c r="I23" s="4">
        <v>317.39999999999998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 t="s">
        <v>99</v>
      </c>
      <c r="B24" s="4">
        <v>3</v>
      </c>
      <c r="C24" s="4">
        <v>4</v>
      </c>
      <c r="D24" s="4">
        <v>5.5</v>
      </c>
      <c r="E24" s="4">
        <v>-8</v>
      </c>
      <c r="F24" s="4">
        <v>-21</v>
      </c>
      <c r="G24" s="4">
        <v>-30</v>
      </c>
      <c r="H24" s="4">
        <v>-42</v>
      </c>
      <c r="I24" s="4">
        <v>-33</v>
      </c>
      <c r="J24" s="4">
        <v>-29</v>
      </c>
      <c r="K24" s="4">
        <v>-22</v>
      </c>
      <c r="L24" s="4">
        <v>-23</v>
      </c>
      <c r="M24" s="4">
        <v>-12</v>
      </c>
      <c r="N24" s="4">
        <v>-21</v>
      </c>
      <c r="O24" s="4">
        <v>-25</v>
      </c>
      <c r="P24" s="4">
        <v>-13</v>
      </c>
      <c r="Q24" s="4">
        <v>-3</v>
      </c>
      <c r="R24" s="4">
        <v>-5</v>
      </c>
      <c r="S24" s="4">
        <v>-4.5</v>
      </c>
      <c r="T24" s="4">
        <v>-6</v>
      </c>
      <c r="U24" s="4">
        <v>1</v>
      </c>
      <c r="V24" s="4">
        <v>-6</v>
      </c>
      <c r="W24" s="4">
        <v>-20</v>
      </c>
    </row>
    <row r="25" spans="1:23" x14ac:dyDescent="0.25">
      <c r="A25" s="4" t="s">
        <v>100</v>
      </c>
      <c r="B25" s="5">
        <f>(B24*-3.5)</f>
        <v>-10.5</v>
      </c>
      <c r="C25" s="5">
        <f t="shared" ref="C25:F25" si="2">(C24*-3.5)</f>
        <v>-14</v>
      </c>
      <c r="D25" s="5">
        <f t="shared" si="2"/>
        <v>-19.25</v>
      </c>
      <c r="E25" s="5">
        <f t="shared" si="2"/>
        <v>28</v>
      </c>
      <c r="F25" s="5">
        <f t="shared" si="2"/>
        <v>73.5</v>
      </c>
      <c r="G25" s="4">
        <f>((G24*-3.5)+40)</f>
        <v>145</v>
      </c>
      <c r="H25" s="4">
        <f t="shared" ref="H25:W25" si="3">((H24*-3.5)+40)</f>
        <v>187</v>
      </c>
      <c r="I25" s="5">
        <f t="shared" si="3"/>
        <v>155.5</v>
      </c>
      <c r="J25" s="5">
        <f t="shared" si="3"/>
        <v>141.5</v>
      </c>
      <c r="K25" s="5">
        <f t="shared" si="3"/>
        <v>117</v>
      </c>
      <c r="L25" s="5">
        <f t="shared" si="3"/>
        <v>120.5</v>
      </c>
      <c r="M25" s="5">
        <f t="shared" si="3"/>
        <v>82</v>
      </c>
      <c r="N25" s="5">
        <f t="shared" si="3"/>
        <v>113.5</v>
      </c>
      <c r="O25" s="5">
        <f t="shared" si="3"/>
        <v>127.5</v>
      </c>
      <c r="P25" s="5">
        <f t="shared" si="3"/>
        <v>85.5</v>
      </c>
      <c r="Q25" s="5">
        <f t="shared" si="3"/>
        <v>50.5</v>
      </c>
      <c r="R25" s="5">
        <f t="shared" si="3"/>
        <v>57.5</v>
      </c>
      <c r="S25" s="5">
        <f t="shared" si="3"/>
        <v>55.75</v>
      </c>
      <c r="T25" s="5">
        <f t="shared" si="3"/>
        <v>61</v>
      </c>
      <c r="U25" s="5">
        <f t="shared" si="3"/>
        <v>36.5</v>
      </c>
      <c r="V25" s="5">
        <f t="shared" si="3"/>
        <v>61</v>
      </c>
      <c r="W25" s="5">
        <f t="shared" si="3"/>
        <v>110</v>
      </c>
    </row>
    <row r="26" spans="1:23" x14ac:dyDescent="0.25">
      <c r="A26" s="4" t="s">
        <v>101</v>
      </c>
      <c r="B26" s="5">
        <f>(B25*1.065)</f>
        <v>-11.182499999999999</v>
      </c>
      <c r="C26" s="5">
        <f t="shared" ref="C26:W26" si="4">(C25*1.065)</f>
        <v>-14.91</v>
      </c>
      <c r="D26" s="5">
        <f t="shared" si="4"/>
        <v>-20.501249999999999</v>
      </c>
      <c r="E26" s="5">
        <f t="shared" si="4"/>
        <v>29.82</v>
      </c>
      <c r="F26" s="5">
        <f t="shared" si="4"/>
        <v>78.277499999999989</v>
      </c>
      <c r="G26" s="5">
        <f t="shared" si="4"/>
        <v>154.42499999999998</v>
      </c>
      <c r="H26" s="5">
        <f t="shared" si="4"/>
        <v>199.155</v>
      </c>
      <c r="I26" s="5">
        <f t="shared" si="4"/>
        <v>165.60749999999999</v>
      </c>
      <c r="J26" s="5">
        <f t="shared" si="4"/>
        <v>150.69749999999999</v>
      </c>
      <c r="K26" s="5">
        <f t="shared" si="4"/>
        <v>124.60499999999999</v>
      </c>
      <c r="L26" s="5">
        <f t="shared" si="4"/>
        <v>128.33249999999998</v>
      </c>
      <c r="M26" s="5">
        <f t="shared" si="4"/>
        <v>87.33</v>
      </c>
      <c r="N26" s="5">
        <f t="shared" si="4"/>
        <v>120.8775</v>
      </c>
      <c r="O26" s="5">
        <f t="shared" si="4"/>
        <v>135.78749999999999</v>
      </c>
      <c r="P26" s="5">
        <f t="shared" si="4"/>
        <v>91.05749999999999</v>
      </c>
      <c r="Q26" s="5">
        <f t="shared" si="4"/>
        <v>53.782499999999999</v>
      </c>
      <c r="R26" s="5">
        <f t="shared" si="4"/>
        <v>61.237499999999997</v>
      </c>
      <c r="S26" s="5">
        <f t="shared" si="4"/>
        <v>59.373749999999994</v>
      </c>
      <c r="T26" s="5">
        <f t="shared" si="4"/>
        <v>64.965000000000003</v>
      </c>
      <c r="U26" s="5">
        <f t="shared" si="4"/>
        <v>38.872499999999995</v>
      </c>
      <c r="V26" s="5">
        <f t="shared" si="4"/>
        <v>64.965000000000003</v>
      </c>
      <c r="W26" s="5">
        <f t="shared" si="4"/>
        <v>117.14999999999999</v>
      </c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 t="s">
        <v>45</v>
      </c>
      <c r="B28" s="4">
        <v>377.2</v>
      </c>
      <c r="C28" s="4">
        <v>350.3</v>
      </c>
      <c r="D28" s="4">
        <v>374.4</v>
      </c>
      <c r="E28" s="4">
        <v>337.9</v>
      </c>
      <c r="F28" s="4">
        <v>273.7</v>
      </c>
      <c r="G28" s="4">
        <v>211.9</v>
      </c>
      <c r="H28" s="4">
        <v>149.80000000000001</v>
      </c>
      <c r="I28" s="4">
        <v>171.4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 t="s">
        <v>102</v>
      </c>
      <c r="B29" s="4">
        <v>1</v>
      </c>
      <c r="C29" s="4">
        <v>0</v>
      </c>
      <c r="D29" s="4">
        <v>2.5</v>
      </c>
      <c r="E29" s="4">
        <v>-12</v>
      </c>
      <c r="F29" s="4">
        <v>-26</v>
      </c>
      <c r="G29" s="4">
        <v>-37</v>
      </c>
      <c r="H29" s="4">
        <v>-50</v>
      </c>
      <c r="I29" s="4">
        <v>-45</v>
      </c>
      <c r="J29" s="4">
        <v>-41</v>
      </c>
      <c r="K29" s="4">
        <v>-31</v>
      </c>
      <c r="L29" s="4">
        <v>-32</v>
      </c>
      <c r="M29" s="4">
        <v>-24</v>
      </c>
      <c r="N29" s="4">
        <v>-32</v>
      </c>
      <c r="O29" s="4">
        <v>-19</v>
      </c>
      <c r="P29" s="4">
        <v>-11</v>
      </c>
      <c r="Q29" s="4">
        <v>-16</v>
      </c>
      <c r="R29" s="4">
        <v>-18</v>
      </c>
      <c r="S29" s="4">
        <v>-20</v>
      </c>
      <c r="T29" s="4">
        <v>-20</v>
      </c>
      <c r="U29" s="4">
        <v>-14</v>
      </c>
      <c r="V29" s="4">
        <v>-16</v>
      </c>
      <c r="W29" s="4">
        <v>-32</v>
      </c>
    </row>
    <row r="30" spans="1:23" x14ac:dyDescent="0.25">
      <c r="A30" s="4" t="s">
        <v>100</v>
      </c>
      <c r="B30" s="5">
        <f>(B29*-4.92)</f>
        <v>-4.92</v>
      </c>
      <c r="C30" s="5">
        <f t="shared" ref="C30:W30" si="5">(C29*-4.92)</f>
        <v>0</v>
      </c>
      <c r="D30" s="5">
        <f t="shared" si="5"/>
        <v>-12.3</v>
      </c>
      <c r="E30" s="5">
        <f t="shared" si="5"/>
        <v>59.04</v>
      </c>
      <c r="F30" s="5">
        <f t="shared" si="5"/>
        <v>127.92</v>
      </c>
      <c r="G30" s="5">
        <f t="shared" si="5"/>
        <v>182.04</v>
      </c>
      <c r="H30" s="5">
        <f t="shared" si="5"/>
        <v>246</v>
      </c>
      <c r="I30" s="5">
        <f t="shared" si="5"/>
        <v>221.4</v>
      </c>
      <c r="J30" s="5">
        <f t="shared" si="5"/>
        <v>201.72</v>
      </c>
      <c r="K30" s="5">
        <f t="shared" si="5"/>
        <v>152.52000000000001</v>
      </c>
      <c r="L30" s="5">
        <f t="shared" si="5"/>
        <v>157.44</v>
      </c>
      <c r="M30" s="5">
        <f t="shared" si="5"/>
        <v>118.08</v>
      </c>
      <c r="N30" s="5">
        <f t="shared" si="5"/>
        <v>157.44</v>
      </c>
      <c r="O30" s="5">
        <f t="shared" si="5"/>
        <v>93.48</v>
      </c>
      <c r="P30" s="5">
        <f t="shared" si="5"/>
        <v>54.12</v>
      </c>
      <c r="Q30" s="5">
        <f t="shared" si="5"/>
        <v>78.72</v>
      </c>
      <c r="R30" s="5">
        <f t="shared" si="5"/>
        <v>88.56</v>
      </c>
      <c r="S30" s="5">
        <f t="shared" si="5"/>
        <v>98.4</v>
      </c>
      <c r="T30" s="5">
        <f t="shared" si="5"/>
        <v>98.4</v>
      </c>
      <c r="U30" s="5">
        <f t="shared" si="5"/>
        <v>68.88</v>
      </c>
      <c r="V30" s="5">
        <f t="shared" si="5"/>
        <v>78.72</v>
      </c>
      <c r="W30" s="5">
        <f t="shared" si="5"/>
        <v>157.44</v>
      </c>
    </row>
    <row r="31" spans="1:23" x14ac:dyDescent="0.25">
      <c r="A31" s="4" t="s">
        <v>101</v>
      </c>
      <c r="B31" s="5">
        <f>(B30*1.0344)</f>
        <v>-5.0892479999999995</v>
      </c>
      <c r="C31" s="5">
        <f t="shared" ref="C31:W31" si="6">(C30*1.0344)</f>
        <v>0</v>
      </c>
      <c r="D31" s="5">
        <f t="shared" si="6"/>
        <v>-12.72312</v>
      </c>
      <c r="E31" s="5">
        <f t="shared" si="6"/>
        <v>61.070976000000002</v>
      </c>
      <c r="F31" s="5">
        <f t="shared" si="6"/>
        <v>132.320448</v>
      </c>
      <c r="G31" s="5">
        <f t="shared" si="6"/>
        <v>188.302176</v>
      </c>
      <c r="H31" s="5">
        <f t="shared" si="6"/>
        <v>254.4624</v>
      </c>
      <c r="I31" s="5">
        <f t="shared" si="6"/>
        <v>229.01616000000001</v>
      </c>
      <c r="J31" s="5">
        <f t="shared" si="6"/>
        <v>208.65916799999999</v>
      </c>
      <c r="K31" s="5">
        <f t="shared" si="6"/>
        <v>157.76668800000002</v>
      </c>
      <c r="L31" s="5">
        <f t="shared" si="6"/>
        <v>162.85593599999999</v>
      </c>
      <c r="M31" s="5">
        <f t="shared" si="6"/>
        <v>122.141952</v>
      </c>
      <c r="N31" s="5">
        <f t="shared" si="6"/>
        <v>162.85593599999999</v>
      </c>
      <c r="O31" s="5">
        <f t="shared" si="6"/>
        <v>96.695712</v>
      </c>
      <c r="P31" s="5">
        <f t="shared" si="6"/>
        <v>55.981727999999997</v>
      </c>
      <c r="Q31" s="5">
        <f t="shared" si="6"/>
        <v>81.427967999999993</v>
      </c>
      <c r="R31" s="5">
        <f t="shared" si="6"/>
        <v>91.606464000000003</v>
      </c>
      <c r="S31" s="5">
        <f t="shared" si="6"/>
        <v>101.78496</v>
      </c>
      <c r="T31" s="5">
        <f t="shared" si="6"/>
        <v>101.78496</v>
      </c>
      <c r="U31" s="5">
        <f t="shared" si="6"/>
        <v>71.249471999999997</v>
      </c>
      <c r="V31" s="5">
        <f t="shared" si="6"/>
        <v>81.427967999999993</v>
      </c>
      <c r="W31" s="5">
        <f t="shared" si="6"/>
        <v>162.85593599999999</v>
      </c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6" t="s">
        <v>14</v>
      </c>
      <c r="B33" s="4">
        <f>(B24+B29)/2</f>
        <v>2</v>
      </c>
      <c r="C33" s="4">
        <f t="shared" ref="C33:W33" si="7">(C24+C29)/2</f>
        <v>2</v>
      </c>
      <c r="D33" s="4">
        <f t="shared" si="7"/>
        <v>4</v>
      </c>
      <c r="E33" s="4">
        <f t="shared" si="7"/>
        <v>-10</v>
      </c>
      <c r="F33" s="4">
        <f t="shared" si="7"/>
        <v>-23.5</v>
      </c>
      <c r="G33" s="4">
        <f t="shared" si="7"/>
        <v>-33.5</v>
      </c>
      <c r="H33" s="4">
        <f t="shared" si="7"/>
        <v>-46</v>
      </c>
      <c r="I33" s="4">
        <f t="shared" si="7"/>
        <v>-39</v>
      </c>
      <c r="J33" s="4">
        <f t="shared" si="7"/>
        <v>-35</v>
      </c>
      <c r="K33" s="4">
        <f t="shared" si="7"/>
        <v>-26.5</v>
      </c>
      <c r="L33" s="4">
        <f t="shared" si="7"/>
        <v>-27.5</v>
      </c>
      <c r="M33" s="4">
        <f t="shared" si="7"/>
        <v>-18</v>
      </c>
      <c r="N33" s="4">
        <f t="shared" si="7"/>
        <v>-26.5</v>
      </c>
      <c r="O33" s="4">
        <f t="shared" si="7"/>
        <v>-22</v>
      </c>
      <c r="P33" s="4">
        <f t="shared" si="7"/>
        <v>-12</v>
      </c>
      <c r="Q33" s="4">
        <f t="shared" si="7"/>
        <v>-9.5</v>
      </c>
      <c r="R33" s="4">
        <f t="shared" si="7"/>
        <v>-11.5</v>
      </c>
      <c r="S33" s="4">
        <f t="shared" si="7"/>
        <v>-12.25</v>
      </c>
      <c r="T33" s="4">
        <f t="shared" si="7"/>
        <v>-13</v>
      </c>
      <c r="U33" s="4">
        <f t="shared" si="7"/>
        <v>-6.5</v>
      </c>
      <c r="V33" s="4">
        <f t="shared" si="7"/>
        <v>-11</v>
      </c>
      <c r="W33" s="4">
        <f t="shared" si="7"/>
        <v>-26</v>
      </c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8" spans="1:23" x14ac:dyDescent="0.25">
      <c r="A38" s="44" t="s">
        <v>97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ht="18.75" x14ac:dyDescent="0.3">
      <c r="A40" s="7" t="s">
        <v>15</v>
      </c>
      <c r="B40">
        <v>1994</v>
      </c>
      <c r="C40">
        <v>1995</v>
      </c>
      <c r="D40">
        <v>1996</v>
      </c>
      <c r="E40">
        <v>1997</v>
      </c>
      <c r="F40">
        <v>1998</v>
      </c>
      <c r="G40">
        <v>1999</v>
      </c>
      <c r="H40">
        <v>2000</v>
      </c>
      <c r="I40">
        <v>2001</v>
      </c>
      <c r="J40">
        <v>2002</v>
      </c>
      <c r="K40">
        <v>2003</v>
      </c>
      <c r="L40">
        <v>2004</v>
      </c>
      <c r="M40">
        <v>2005</v>
      </c>
      <c r="N40">
        <v>2006</v>
      </c>
      <c r="O40">
        <v>2007</v>
      </c>
      <c r="P40">
        <v>2008</v>
      </c>
      <c r="Q40">
        <v>2009</v>
      </c>
      <c r="R40">
        <v>2010</v>
      </c>
      <c r="S40">
        <v>2011</v>
      </c>
      <c r="T40">
        <v>2012</v>
      </c>
      <c r="U40">
        <v>2013</v>
      </c>
      <c r="V40">
        <v>2014</v>
      </c>
      <c r="W40">
        <v>2015</v>
      </c>
    </row>
    <row r="41" spans="1:23" x14ac:dyDescent="0.25">
      <c r="A41" t="s">
        <v>16</v>
      </c>
    </row>
    <row r="42" spans="1:23" x14ac:dyDescent="0.25">
      <c r="A42" t="s">
        <v>103</v>
      </c>
      <c r="H42">
        <v>231</v>
      </c>
      <c r="I42">
        <v>237</v>
      </c>
      <c r="J42">
        <v>248</v>
      </c>
      <c r="K42">
        <v>255</v>
      </c>
      <c r="L42">
        <v>269</v>
      </c>
      <c r="M42">
        <v>283</v>
      </c>
      <c r="N42">
        <v>297</v>
      </c>
      <c r="O42">
        <v>318</v>
      </c>
      <c r="P42">
        <v>311</v>
      </c>
      <c r="Q42">
        <v>299</v>
      </c>
      <c r="R42">
        <v>333</v>
      </c>
      <c r="S42">
        <v>340</v>
      </c>
      <c r="T42">
        <v>413</v>
      </c>
      <c r="U42">
        <v>439</v>
      </c>
      <c r="V42">
        <v>469</v>
      </c>
      <c r="W42">
        <v>497</v>
      </c>
    </row>
    <row r="43" spans="1:23" x14ac:dyDescent="0.25">
      <c r="A43" t="s">
        <v>106</v>
      </c>
      <c r="H43">
        <v>68</v>
      </c>
      <c r="I43">
        <v>76</v>
      </c>
      <c r="J43">
        <v>83</v>
      </c>
      <c r="K43">
        <v>89</v>
      </c>
      <c r="L43">
        <v>98</v>
      </c>
      <c r="M43">
        <v>103</v>
      </c>
      <c r="N43">
        <v>122</v>
      </c>
      <c r="O43">
        <v>129</v>
      </c>
      <c r="P43">
        <v>112</v>
      </c>
      <c r="Q43">
        <v>89</v>
      </c>
      <c r="R43">
        <v>91</v>
      </c>
      <c r="S43">
        <v>80</v>
      </c>
      <c r="T43">
        <v>76</v>
      </c>
      <c r="U43">
        <v>84</v>
      </c>
      <c r="V43">
        <v>84</v>
      </c>
      <c r="W43">
        <v>85</v>
      </c>
    </row>
    <row r="44" spans="1:23" x14ac:dyDescent="0.25">
      <c r="A44" t="s">
        <v>105</v>
      </c>
      <c r="C44">
        <v>147</v>
      </c>
      <c r="D44">
        <v>213</v>
      </c>
      <c r="E44">
        <v>239</v>
      </c>
      <c r="F44">
        <v>271</v>
      </c>
      <c r="G44">
        <v>290</v>
      </c>
      <c r="H44">
        <f>(H42+H43)</f>
        <v>299</v>
      </c>
      <c r="I44">
        <f t="shared" ref="I44:W44" si="8">(I42+I43)</f>
        <v>313</v>
      </c>
      <c r="J44">
        <f t="shared" si="8"/>
        <v>331</v>
      </c>
      <c r="K44">
        <f t="shared" si="8"/>
        <v>344</v>
      </c>
      <c r="L44">
        <f t="shared" si="8"/>
        <v>367</v>
      </c>
      <c r="M44">
        <f t="shared" si="8"/>
        <v>386</v>
      </c>
      <c r="N44">
        <f t="shared" si="8"/>
        <v>419</v>
      </c>
      <c r="O44">
        <f t="shared" si="8"/>
        <v>447</v>
      </c>
      <c r="P44">
        <f t="shared" si="8"/>
        <v>423</v>
      </c>
      <c r="Q44">
        <f t="shared" si="8"/>
        <v>388</v>
      </c>
      <c r="R44">
        <f t="shared" si="8"/>
        <v>424</v>
      </c>
      <c r="S44">
        <f t="shared" si="8"/>
        <v>420</v>
      </c>
      <c r="T44">
        <f t="shared" si="8"/>
        <v>489</v>
      </c>
      <c r="U44">
        <f t="shared" si="8"/>
        <v>523</v>
      </c>
      <c r="V44">
        <f t="shared" si="8"/>
        <v>553</v>
      </c>
      <c r="W44">
        <f t="shared" si="8"/>
        <v>582</v>
      </c>
    </row>
    <row r="46" spans="1:23" x14ac:dyDescent="0.25">
      <c r="A46" t="s">
        <v>17</v>
      </c>
      <c r="C46">
        <v>65</v>
      </c>
      <c r="D46">
        <v>64</v>
      </c>
      <c r="E46">
        <v>63</v>
      </c>
      <c r="F46">
        <v>62</v>
      </c>
      <c r="G46">
        <v>61</v>
      </c>
      <c r="H46">
        <v>60</v>
      </c>
      <c r="I46">
        <v>59</v>
      </c>
      <c r="J46">
        <v>58</v>
      </c>
      <c r="K46">
        <v>57</v>
      </c>
      <c r="L46">
        <v>56</v>
      </c>
      <c r="M46">
        <v>55</v>
      </c>
      <c r="N46">
        <v>54</v>
      </c>
      <c r="O46">
        <v>53</v>
      </c>
      <c r="P46">
        <v>52</v>
      </c>
      <c r="Q46">
        <v>51</v>
      </c>
      <c r="R46">
        <v>50</v>
      </c>
      <c r="S46">
        <v>49</v>
      </c>
      <c r="T46">
        <v>48</v>
      </c>
      <c r="U46">
        <v>47</v>
      </c>
      <c r="V46">
        <v>46</v>
      </c>
      <c r="W46">
        <v>45</v>
      </c>
    </row>
    <row r="48" spans="1:23" x14ac:dyDescent="0.25">
      <c r="A48" t="s">
        <v>104</v>
      </c>
      <c r="H48" s="1">
        <f>(H44*H46/100)</f>
        <v>179.4</v>
      </c>
      <c r="I48" s="1">
        <f t="shared" ref="I48:W48" si="9">(I44*I46/100)</f>
        <v>184.67</v>
      </c>
      <c r="J48" s="1">
        <f t="shared" si="9"/>
        <v>191.98</v>
      </c>
      <c r="K48" s="1">
        <f t="shared" si="9"/>
        <v>196.08</v>
      </c>
      <c r="L48" s="1">
        <f t="shared" si="9"/>
        <v>205.52</v>
      </c>
      <c r="M48" s="1">
        <f t="shared" si="9"/>
        <v>212.3</v>
      </c>
      <c r="N48" s="1">
        <f t="shared" si="9"/>
        <v>226.26</v>
      </c>
      <c r="O48" s="1">
        <f t="shared" si="9"/>
        <v>236.91</v>
      </c>
      <c r="P48" s="1">
        <f t="shared" si="9"/>
        <v>219.96</v>
      </c>
      <c r="Q48" s="1">
        <f t="shared" si="9"/>
        <v>197.88</v>
      </c>
      <c r="R48" s="1">
        <f t="shared" si="9"/>
        <v>212</v>
      </c>
      <c r="S48" s="1">
        <f t="shared" si="9"/>
        <v>205.8</v>
      </c>
      <c r="T48" s="1">
        <f t="shared" si="9"/>
        <v>234.72</v>
      </c>
      <c r="U48" s="1">
        <f t="shared" si="9"/>
        <v>245.81</v>
      </c>
      <c r="V48" s="1">
        <f t="shared" si="9"/>
        <v>254.38</v>
      </c>
      <c r="W48" s="1">
        <f t="shared" si="9"/>
        <v>261.89999999999998</v>
      </c>
    </row>
    <row r="49" spans="1:23" x14ac:dyDescent="0.25">
      <c r="A49" t="s">
        <v>18</v>
      </c>
    </row>
    <row r="50" spans="1:23" x14ac:dyDescent="0.25">
      <c r="A50" t="s">
        <v>107</v>
      </c>
      <c r="C50" s="1">
        <v>0</v>
      </c>
      <c r="D50" s="1">
        <v>-64</v>
      </c>
      <c r="E50" s="1">
        <f>(F50+D50)/2</f>
        <v>52.010000000000005</v>
      </c>
      <c r="F50" s="1">
        <f t="shared" ref="F50:G50" si="10">(F44*F46/100)</f>
        <v>168.02</v>
      </c>
      <c r="G50" s="1">
        <f t="shared" si="10"/>
        <v>176.9</v>
      </c>
      <c r="H50" s="1">
        <f>(H48*1)</f>
        <v>179.4</v>
      </c>
      <c r="I50" s="1">
        <f t="shared" ref="I50:W50" si="11">(I48*1)</f>
        <v>184.67</v>
      </c>
      <c r="J50" s="1">
        <f t="shared" si="11"/>
        <v>191.98</v>
      </c>
      <c r="K50" s="1">
        <f t="shared" si="11"/>
        <v>196.08</v>
      </c>
      <c r="L50" s="1">
        <f t="shared" si="11"/>
        <v>205.52</v>
      </c>
      <c r="M50" s="1">
        <f t="shared" si="11"/>
        <v>212.3</v>
      </c>
      <c r="N50" s="1">
        <f t="shared" si="11"/>
        <v>226.26</v>
      </c>
      <c r="O50" s="1">
        <f t="shared" si="11"/>
        <v>236.91</v>
      </c>
      <c r="P50" s="1">
        <f t="shared" si="11"/>
        <v>219.96</v>
      </c>
      <c r="Q50" s="1">
        <f t="shared" si="11"/>
        <v>197.88</v>
      </c>
      <c r="R50" s="1">
        <f t="shared" si="11"/>
        <v>212</v>
      </c>
      <c r="S50" s="1">
        <f t="shared" si="11"/>
        <v>205.8</v>
      </c>
      <c r="T50" s="1">
        <f t="shared" si="11"/>
        <v>234.72</v>
      </c>
      <c r="U50" s="1">
        <f t="shared" si="11"/>
        <v>245.81</v>
      </c>
      <c r="V50" s="1">
        <f t="shared" si="11"/>
        <v>254.38</v>
      </c>
      <c r="W50" s="1">
        <f t="shared" si="11"/>
        <v>261.89999999999998</v>
      </c>
    </row>
    <row r="51" spans="1:23" x14ac:dyDescent="0.25">
      <c r="A51" t="s">
        <v>108</v>
      </c>
      <c r="C51" s="1">
        <f>(C50*1.0344)</f>
        <v>0</v>
      </c>
      <c r="D51" s="1">
        <f t="shared" ref="D51:G51" si="12">(D50*1.0344)</f>
        <v>-66.201599999999999</v>
      </c>
      <c r="E51" s="1">
        <f t="shared" si="12"/>
        <v>53.799144000000005</v>
      </c>
      <c r="F51" s="1">
        <f t="shared" si="12"/>
        <v>173.79988800000001</v>
      </c>
      <c r="G51" s="1">
        <f t="shared" si="12"/>
        <v>182.98536000000001</v>
      </c>
      <c r="H51" s="1">
        <f>(H50*1.0344)</f>
        <v>185.57136</v>
      </c>
      <c r="I51" s="1">
        <f t="shared" ref="I51:W51" si="13">(I50*1.0344)</f>
        <v>191.02264799999998</v>
      </c>
      <c r="J51" s="1">
        <f t="shared" si="13"/>
        <v>198.58411199999998</v>
      </c>
      <c r="K51" s="1">
        <f t="shared" si="13"/>
        <v>202.825152</v>
      </c>
      <c r="L51" s="1">
        <f t="shared" si="13"/>
        <v>212.589888</v>
      </c>
      <c r="M51" s="1">
        <f t="shared" si="13"/>
        <v>219.60312000000002</v>
      </c>
      <c r="N51" s="1">
        <f t="shared" si="13"/>
        <v>234.04334399999999</v>
      </c>
      <c r="O51" s="1">
        <f t="shared" si="13"/>
        <v>245.05970399999998</v>
      </c>
      <c r="P51" s="1">
        <f t="shared" si="13"/>
        <v>227.526624</v>
      </c>
      <c r="Q51" s="1">
        <f t="shared" si="13"/>
        <v>204.687072</v>
      </c>
      <c r="R51" s="1">
        <f t="shared" si="13"/>
        <v>219.2928</v>
      </c>
      <c r="S51" s="1">
        <f t="shared" si="13"/>
        <v>212.87952000000001</v>
      </c>
      <c r="T51" s="1">
        <f t="shared" si="13"/>
        <v>242.79436799999999</v>
      </c>
      <c r="U51" s="1">
        <f t="shared" si="13"/>
        <v>254.26586399999999</v>
      </c>
      <c r="V51" s="1">
        <f t="shared" si="13"/>
        <v>263.130672</v>
      </c>
      <c r="W51" s="1">
        <f t="shared" si="13"/>
        <v>270.90935999999999</v>
      </c>
    </row>
    <row r="54" spans="1:23" ht="18.75" x14ac:dyDescent="0.3">
      <c r="A54" s="7" t="s">
        <v>19</v>
      </c>
    </row>
    <row r="55" spans="1:23" x14ac:dyDescent="0.25">
      <c r="A55" t="s">
        <v>109</v>
      </c>
      <c r="H55">
        <v>494</v>
      </c>
      <c r="I55">
        <v>448</v>
      </c>
      <c r="J55">
        <v>476</v>
      </c>
      <c r="K55">
        <v>471</v>
      </c>
      <c r="L55">
        <v>447</v>
      </c>
      <c r="M55">
        <v>409</v>
      </c>
      <c r="N55">
        <v>386</v>
      </c>
      <c r="O55">
        <v>396</v>
      </c>
      <c r="P55">
        <v>368</v>
      </c>
      <c r="Q55">
        <v>384</v>
      </c>
      <c r="R55">
        <v>396</v>
      </c>
      <c r="S55">
        <v>404</v>
      </c>
      <c r="T55">
        <v>368</v>
      </c>
      <c r="U55">
        <v>370</v>
      </c>
      <c r="V55">
        <v>377</v>
      </c>
      <c r="W55">
        <v>385</v>
      </c>
    </row>
    <row r="56" spans="1:23" x14ac:dyDescent="0.25">
      <c r="A56" t="s">
        <v>20</v>
      </c>
    </row>
    <row r="57" spans="1:23" x14ac:dyDescent="0.25">
      <c r="A57" t="s">
        <v>110</v>
      </c>
      <c r="H57" s="1">
        <f>(H55*50/1000)</f>
        <v>24.7</v>
      </c>
      <c r="I57" s="1">
        <f t="shared" ref="I57:W57" si="14">(I55*50/1000)</f>
        <v>22.4</v>
      </c>
      <c r="J57" s="1">
        <f t="shared" si="14"/>
        <v>23.8</v>
      </c>
      <c r="K57" s="1">
        <f t="shared" si="14"/>
        <v>23.55</v>
      </c>
      <c r="L57" s="1">
        <f t="shared" si="14"/>
        <v>22.35</v>
      </c>
      <c r="M57" s="1">
        <f t="shared" si="14"/>
        <v>20.45</v>
      </c>
      <c r="N57" s="1">
        <f t="shared" si="14"/>
        <v>19.3</v>
      </c>
      <c r="O57" s="1">
        <f t="shared" si="14"/>
        <v>19.8</v>
      </c>
      <c r="P57" s="1">
        <v>0</v>
      </c>
      <c r="Q57" s="1">
        <v>0</v>
      </c>
      <c r="R57" s="1">
        <f t="shared" si="14"/>
        <v>19.8</v>
      </c>
      <c r="S57" s="1">
        <v>0</v>
      </c>
      <c r="T57" s="1">
        <v>0</v>
      </c>
      <c r="U57" s="1">
        <v>0</v>
      </c>
      <c r="V57" s="1">
        <v>0</v>
      </c>
      <c r="W57" s="1">
        <f t="shared" si="14"/>
        <v>19.25</v>
      </c>
    </row>
    <row r="58" spans="1:23" x14ac:dyDescent="0.25">
      <c r="A58" t="s">
        <v>111</v>
      </c>
      <c r="H58" s="1">
        <f>(H57*1.05)</f>
        <v>25.934999999999999</v>
      </c>
      <c r="I58" s="1">
        <f t="shared" ref="I58:W58" si="15">(I57*1.05)</f>
        <v>23.52</v>
      </c>
      <c r="J58" s="1">
        <f t="shared" si="15"/>
        <v>24.990000000000002</v>
      </c>
      <c r="K58" s="1">
        <f t="shared" si="15"/>
        <v>24.727500000000003</v>
      </c>
      <c r="L58" s="1">
        <f t="shared" si="15"/>
        <v>23.467500000000001</v>
      </c>
      <c r="M58" s="1">
        <f t="shared" si="15"/>
        <v>21.4725</v>
      </c>
      <c r="N58" s="1">
        <f t="shared" si="15"/>
        <v>20.265000000000001</v>
      </c>
      <c r="O58" s="1">
        <f t="shared" si="15"/>
        <v>20.790000000000003</v>
      </c>
      <c r="P58" s="1">
        <f t="shared" si="15"/>
        <v>0</v>
      </c>
      <c r="Q58" s="1">
        <f t="shared" si="15"/>
        <v>0</v>
      </c>
      <c r="R58" s="1">
        <f t="shared" si="15"/>
        <v>20.790000000000003</v>
      </c>
      <c r="S58" s="1">
        <f t="shared" si="15"/>
        <v>0</v>
      </c>
      <c r="T58" s="1">
        <f t="shared" si="15"/>
        <v>0</v>
      </c>
      <c r="U58" s="1">
        <f t="shared" si="15"/>
        <v>0</v>
      </c>
      <c r="V58" s="1">
        <f t="shared" si="15"/>
        <v>0</v>
      </c>
      <c r="W58" s="1">
        <f t="shared" si="15"/>
        <v>20.212500000000002</v>
      </c>
    </row>
    <row r="59" spans="1:23" x14ac:dyDescent="0.25">
      <c r="A59" t="s">
        <v>21</v>
      </c>
      <c r="H59" s="1">
        <f>(H58*0.5)</f>
        <v>12.967499999999999</v>
      </c>
      <c r="I59" s="1">
        <f t="shared" ref="I59:W59" si="16">(I58*0.5)</f>
        <v>11.76</v>
      </c>
      <c r="J59" s="1">
        <f t="shared" si="16"/>
        <v>12.495000000000001</v>
      </c>
      <c r="K59" s="1">
        <f t="shared" si="16"/>
        <v>12.363750000000001</v>
      </c>
      <c r="L59" s="1">
        <f t="shared" si="16"/>
        <v>11.733750000000001</v>
      </c>
      <c r="M59" s="1">
        <f t="shared" si="16"/>
        <v>10.73625</v>
      </c>
      <c r="N59" s="1">
        <f t="shared" si="16"/>
        <v>10.1325</v>
      </c>
      <c r="O59" s="1">
        <f t="shared" si="16"/>
        <v>10.395000000000001</v>
      </c>
      <c r="P59" s="1">
        <f t="shared" si="16"/>
        <v>0</v>
      </c>
      <c r="Q59" s="1">
        <f t="shared" si="16"/>
        <v>0</v>
      </c>
      <c r="R59" s="1">
        <f t="shared" si="16"/>
        <v>10.395000000000001</v>
      </c>
      <c r="S59" s="1">
        <f t="shared" si="16"/>
        <v>0</v>
      </c>
      <c r="T59" s="1">
        <f t="shared" si="16"/>
        <v>0</v>
      </c>
      <c r="U59" s="1">
        <f t="shared" si="16"/>
        <v>0</v>
      </c>
      <c r="V59" s="1">
        <f t="shared" si="16"/>
        <v>0</v>
      </c>
      <c r="W59" s="1">
        <f t="shared" si="16"/>
        <v>10.106250000000001</v>
      </c>
    </row>
    <row r="60" spans="1:23" x14ac:dyDescent="0.25">
      <c r="A60" t="s">
        <v>22</v>
      </c>
      <c r="H60" s="1">
        <f>(H58*0.5)</f>
        <v>12.967499999999999</v>
      </c>
      <c r="I60" s="1">
        <f t="shared" ref="I60:W60" si="17">(I58*0.5)</f>
        <v>11.76</v>
      </c>
      <c r="J60" s="1">
        <f t="shared" si="17"/>
        <v>12.495000000000001</v>
      </c>
      <c r="K60" s="1">
        <f t="shared" si="17"/>
        <v>12.363750000000001</v>
      </c>
      <c r="L60" s="1">
        <f t="shared" si="17"/>
        <v>11.733750000000001</v>
      </c>
      <c r="M60" s="1">
        <f t="shared" si="17"/>
        <v>10.73625</v>
      </c>
      <c r="N60" s="1">
        <f t="shared" si="17"/>
        <v>10.1325</v>
      </c>
      <c r="O60" s="1">
        <f t="shared" si="17"/>
        <v>10.395000000000001</v>
      </c>
      <c r="P60" s="1">
        <f t="shared" si="17"/>
        <v>0</v>
      </c>
      <c r="Q60" s="1">
        <f t="shared" si="17"/>
        <v>0</v>
      </c>
      <c r="R60" s="1">
        <f t="shared" si="17"/>
        <v>10.395000000000001</v>
      </c>
      <c r="S60" s="1">
        <f t="shared" si="17"/>
        <v>0</v>
      </c>
      <c r="T60" s="1">
        <f t="shared" si="17"/>
        <v>0</v>
      </c>
      <c r="U60" s="1">
        <f t="shared" si="17"/>
        <v>0</v>
      </c>
      <c r="V60" s="1">
        <f t="shared" si="17"/>
        <v>0</v>
      </c>
      <c r="W60" s="1">
        <f t="shared" si="17"/>
        <v>10.106250000000001</v>
      </c>
    </row>
    <row r="62" spans="1:23" x14ac:dyDescent="0.25">
      <c r="A62" s="44" t="s">
        <v>135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1:23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1:23" ht="15.75" x14ac:dyDescent="0.25">
      <c r="A64" s="3" t="s">
        <v>7</v>
      </c>
    </row>
    <row r="65" spans="1:23" x14ac:dyDescent="0.25">
      <c r="A65" t="s">
        <v>112</v>
      </c>
      <c r="B65" s="5">
        <f>(B26)</f>
        <v>-11.182499999999999</v>
      </c>
      <c r="C65" s="5">
        <f t="shared" ref="C65:W65" si="18">(C26)</f>
        <v>-14.91</v>
      </c>
      <c r="D65" s="5">
        <f t="shared" si="18"/>
        <v>-20.501249999999999</v>
      </c>
      <c r="E65" s="5">
        <f t="shared" si="18"/>
        <v>29.82</v>
      </c>
      <c r="F65" s="5">
        <f t="shared" si="18"/>
        <v>78.277499999999989</v>
      </c>
      <c r="G65" s="5">
        <f t="shared" si="18"/>
        <v>154.42499999999998</v>
      </c>
      <c r="H65" s="5">
        <f t="shared" si="18"/>
        <v>199.155</v>
      </c>
      <c r="I65" s="5">
        <f t="shared" si="18"/>
        <v>165.60749999999999</v>
      </c>
      <c r="J65" s="5">
        <f t="shared" si="18"/>
        <v>150.69749999999999</v>
      </c>
      <c r="K65" s="5">
        <f t="shared" si="18"/>
        <v>124.60499999999999</v>
      </c>
      <c r="L65" s="5">
        <f t="shared" si="18"/>
        <v>128.33249999999998</v>
      </c>
      <c r="M65" s="5">
        <f t="shared" si="18"/>
        <v>87.33</v>
      </c>
      <c r="N65" s="5">
        <f t="shared" si="18"/>
        <v>120.8775</v>
      </c>
      <c r="O65" s="5">
        <f t="shared" si="18"/>
        <v>135.78749999999999</v>
      </c>
      <c r="P65" s="5">
        <f t="shared" si="18"/>
        <v>91.05749999999999</v>
      </c>
      <c r="Q65" s="5">
        <f t="shared" si="18"/>
        <v>53.782499999999999</v>
      </c>
      <c r="R65" s="5">
        <f t="shared" si="18"/>
        <v>61.237499999999997</v>
      </c>
      <c r="S65" s="5">
        <f t="shared" si="18"/>
        <v>59.373749999999994</v>
      </c>
      <c r="T65" s="5">
        <f t="shared" si="18"/>
        <v>64.965000000000003</v>
      </c>
      <c r="U65" s="5">
        <f t="shared" si="18"/>
        <v>38.872499999999995</v>
      </c>
      <c r="V65" s="5">
        <f t="shared" si="18"/>
        <v>64.965000000000003</v>
      </c>
      <c r="W65" s="5">
        <f t="shared" si="18"/>
        <v>117.14999999999999</v>
      </c>
    </row>
    <row r="66" spans="1:23" x14ac:dyDescent="0.25">
      <c r="A66" t="s">
        <v>113</v>
      </c>
      <c r="B66" s="9">
        <f>(B59)</f>
        <v>0</v>
      </c>
      <c r="C66" s="9">
        <f t="shared" ref="C66:W66" si="19">(C59)</f>
        <v>0</v>
      </c>
      <c r="D66" s="9">
        <f t="shared" si="19"/>
        <v>0</v>
      </c>
      <c r="E66" s="9">
        <f t="shared" si="19"/>
        <v>0</v>
      </c>
      <c r="F66" s="9">
        <f t="shared" si="19"/>
        <v>0</v>
      </c>
      <c r="G66" s="9">
        <f t="shared" si="19"/>
        <v>0</v>
      </c>
      <c r="H66" s="10">
        <f t="shared" si="19"/>
        <v>12.967499999999999</v>
      </c>
      <c r="I66" s="10">
        <f t="shared" si="19"/>
        <v>11.76</v>
      </c>
      <c r="J66" s="10">
        <f t="shared" si="19"/>
        <v>12.495000000000001</v>
      </c>
      <c r="K66" s="10">
        <f t="shared" si="19"/>
        <v>12.363750000000001</v>
      </c>
      <c r="L66" s="10">
        <f t="shared" si="19"/>
        <v>11.733750000000001</v>
      </c>
      <c r="M66" s="10">
        <f t="shared" si="19"/>
        <v>10.73625</v>
      </c>
      <c r="N66" s="10">
        <f t="shared" si="19"/>
        <v>10.1325</v>
      </c>
      <c r="O66" s="10">
        <f t="shared" si="19"/>
        <v>10.395000000000001</v>
      </c>
      <c r="P66" s="10">
        <f t="shared" si="19"/>
        <v>0</v>
      </c>
      <c r="Q66" s="10">
        <f t="shared" si="19"/>
        <v>0</v>
      </c>
      <c r="R66" s="10">
        <f t="shared" si="19"/>
        <v>10.395000000000001</v>
      </c>
      <c r="S66" s="10">
        <f t="shared" si="19"/>
        <v>0</v>
      </c>
      <c r="T66" s="10">
        <f t="shared" si="19"/>
        <v>0</v>
      </c>
      <c r="U66" s="10">
        <f t="shared" si="19"/>
        <v>0</v>
      </c>
      <c r="V66" s="10">
        <f t="shared" si="19"/>
        <v>0</v>
      </c>
      <c r="W66" s="10">
        <f t="shared" si="19"/>
        <v>10.106250000000001</v>
      </c>
    </row>
    <row r="67" spans="1:23" x14ac:dyDescent="0.25">
      <c r="A67" t="s">
        <v>114</v>
      </c>
      <c r="B67" s="1">
        <f>(B65+B66)</f>
        <v>-11.182499999999999</v>
      </c>
      <c r="C67" s="1">
        <f t="shared" ref="C67:W67" si="20">(C65+C66)</f>
        <v>-14.91</v>
      </c>
      <c r="D67" s="1">
        <f t="shared" si="20"/>
        <v>-20.501249999999999</v>
      </c>
      <c r="E67" s="1">
        <f t="shared" si="20"/>
        <v>29.82</v>
      </c>
      <c r="F67" s="1">
        <f t="shared" si="20"/>
        <v>78.277499999999989</v>
      </c>
      <c r="G67" s="1">
        <f t="shared" si="20"/>
        <v>154.42499999999998</v>
      </c>
      <c r="H67" s="1">
        <f t="shared" si="20"/>
        <v>212.1225</v>
      </c>
      <c r="I67" s="1">
        <f t="shared" si="20"/>
        <v>177.36749999999998</v>
      </c>
      <c r="J67" s="1">
        <f t="shared" si="20"/>
        <v>163.1925</v>
      </c>
      <c r="K67" s="1">
        <f t="shared" si="20"/>
        <v>136.96875</v>
      </c>
      <c r="L67" s="1">
        <f t="shared" si="20"/>
        <v>140.06624999999997</v>
      </c>
      <c r="M67" s="1">
        <f t="shared" si="20"/>
        <v>98.066249999999997</v>
      </c>
      <c r="N67" s="1">
        <f t="shared" si="20"/>
        <v>131.01</v>
      </c>
      <c r="O67" s="1">
        <f t="shared" si="20"/>
        <v>146.1825</v>
      </c>
      <c r="P67" s="1">
        <f t="shared" si="20"/>
        <v>91.05749999999999</v>
      </c>
      <c r="Q67" s="1">
        <f t="shared" si="20"/>
        <v>53.782499999999999</v>
      </c>
      <c r="R67" s="1">
        <f t="shared" si="20"/>
        <v>71.632499999999993</v>
      </c>
      <c r="S67" s="1">
        <f t="shared" si="20"/>
        <v>59.373749999999994</v>
      </c>
      <c r="T67" s="1">
        <f t="shared" si="20"/>
        <v>64.965000000000003</v>
      </c>
      <c r="U67" s="1">
        <f t="shared" si="20"/>
        <v>38.872499999999995</v>
      </c>
      <c r="V67" s="1">
        <f t="shared" si="20"/>
        <v>64.965000000000003</v>
      </c>
      <c r="W67" s="1">
        <f t="shared" si="20"/>
        <v>127.25624999999999</v>
      </c>
    </row>
    <row r="69" spans="1:23" ht="15.75" x14ac:dyDescent="0.25">
      <c r="A69" s="3" t="s">
        <v>8</v>
      </c>
    </row>
    <row r="70" spans="1:23" x14ac:dyDescent="0.25">
      <c r="A70" t="s">
        <v>115</v>
      </c>
      <c r="B70" s="1">
        <f>(B31)</f>
        <v>-5.0892479999999995</v>
      </c>
      <c r="C70" s="1">
        <f t="shared" ref="C70" si="21">(C31)</f>
        <v>0</v>
      </c>
      <c r="D70" s="1">
        <v>-12.72312</v>
      </c>
      <c r="E70" s="1">
        <v>61.070976000000002</v>
      </c>
      <c r="F70" s="1">
        <v>132.320448</v>
      </c>
      <c r="G70" s="1">
        <v>188.302176</v>
      </c>
      <c r="H70" s="1">
        <v>254.4624</v>
      </c>
      <c r="I70" s="1">
        <v>229.01616000000001</v>
      </c>
      <c r="J70" s="1">
        <v>208.65916799999999</v>
      </c>
      <c r="K70" s="1">
        <v>157.76668800000002</v>
      </c>
      <c r="L70" s="1">
        <v>162.85593599999999</v>
      </c>
      <c r="M70" s="1">
        <v>122.141952</v>
      </c>
      <c r="N70" s="1">
        <v>162.85593599999999</v>
      </c>
      <c r="O70" s="1">
        <v>96.695712</v>
      </c>
      <c r="P70" s="1">
        <v>55.981727999999997</v>
      </c>
      <c r="Q70" s="1">
        <v>81.427967999999993</v>
      </c>
      <c r="R70" s="1">
        <v>91.606464000000003</v>
      </c>
      <c r="S70" s="1">
        <v>101.78496</v>
      </c>
      <c r="T70" s="1">
        <v>101.78496</v>
      </c>
      <c r="U70" s="1">
        <v>71.249471999999997</v>
      </c>
      <c r="V70" s="1">
        <v>117.05270399999999</v>
      </c>
      <c r="W70" s="1">
        <v>183.21292800000001</v>
      </c>
    </row>
    <row r="71" spans="1:23" x14ac:dyDescent="0.25">
      <c r="A71" t="s">
        <v>116</v>
      </c>
      <c r="B71" s="8">
        <f>(B60)</f>
        <v>0</v>
      </c>
      <c r="C71" s="8">
        <f t="shared" ref="C71:W71" si="22">(C60)</f>
        <v>0</v>
      </c>
      <c r="D71" s="8">
        <f t="shared" si="22"/>
        <v>0</v>
      </c>
      <c r="E71" s="8">
        <f t="shared" si="22"/>
        <v>0</v>
      </c>
      <c r="F71" s="8">
        <f t="shared" si="22"/>
        <v>0</v>
      </c>
      <c r="G71" s="8">
        <f t="shared" si="22"/>
        <v>0</v>
      </c>
      <c r="H71" s="11">
        <f>(H60)</f>
        <v>12.967499999999999</v>
      </c>
      <c r="I71" s="11">
        <f t="shared" si="22"/>
        <v>11.76</v>
      </c>
      <c r="J71" s="11">
        <f t="shared" si="22"/>
        <v>12.495000000000001</v>
      </c>
      <c r="K71" s="11">
        <f t="shared" si="22"/>
        <v>12.363750000000001</v>
      </c>
      <c r="L71" s="11">
        <f t="shared" si="22"/>
        <v>11.733750000000001</v>
      </c>
      <c r="M71" s="11">
        <f t="shared" si="22"/>
        <v>10.73625</v>
      </c>
      <c r="N71" s="11">
        <f t="shared" si="22"/>
        <v>10.1325</v>
      </c>
      <c r="O71" s="11">
        <f t="shared" si="22"/>
        <v>10.395000000000001</v>
      </c>
      <c r="P71" s="11">
        <f t="shared" si="22"/>
        <v>0</v>
      </c>
      <c r="Q71" s="11">
        <f t="shared" si="22"/>
        <v>0</v>
      </c>
      <c r="R71" s="11">
        <f t="shared" si="22"/>
        <v>10.395000000000001</v>
      </c>
      <c r="S71" s="11">
        <f t="shared" si="22"/>
        <v>0</v>
      </c>
      <c r="T71" s="11">
        <f t="shared" si="22"/>
        <v>0</v>
      </c>
      <c r="U71" s="11">
        <f t="shared" si="22"/>
        <v>0</v>
      </c>
      <c r="V71" s="11">
        <f t="shared" si="22"/>
        <v>0</v>
      </c>
      <c r="W71" s="11">
        <f t="shared" si="22"/>
        <v>10.106250000000001</v>
      </c>
    </row>
    <row r="72" spans="1:23" x14ac:dyDescent="0.25">
      <c r="A72" t="s">
        <v>119</v>
      </c>
      <c r="B72" s="9"/>
      <c r="C72" s="10">
        <v>0</v>
      </c>
      <c r="D72" s="10">
        <v>-66.201599999999999</v>
      </c>
      <c r="E72" s="10">
        <f>(E51)</f>
        <v>53.799144000000005</v>
      </c>
      <c r="F72" s="10">
        <v>173.79988800000001</v>
      </c>
      <c r="G72" s="10">
        <v>182.98536000000001</v>
      </c>
      <c r="H72" s="10">
        <v>185.57136</v>
      </c>
      <c r="I72" s="10">
        <v>191.02264799999998</v>
      </c>
      <c r="J72" s="10">
        <v>198.58411199999998</v>
      </c>
      <c r="K72" s="10">
        <v>202.825152</v>
      </c>
      <c r="L72" s="10">
        <v>212.589888</v>
      </c>
      <c r="M72" s="10">
        <v>219.60312000000002</v>
      </c>
      <c r="N72" s="10">
        <v>234.04334399999999</v>
      </c>
      <c r="O72" s="10">
        <v>245.05970399999998</v>
      </c>
      <c r="P72" s="10">
        <v>227.526624</v>
      </c>
      <c r="Q72" s="10">
        <v>204.687072</v>
      </c>
      <c r="R72" s="10">
        <v>219.2928</v>
      </c>
      <c r="S72" s="10">
        <v>212.87952000000001</v>
      </c>
      <c r="T72" s="10">
        <v>242.79436799999999</v>
      </c>
      <c r="U72" s="10">
        <v>254.26586399999999</v>
      </c>
      <c r="V72" s="10">
        <v>263.130672</v>
      </c>
      <c r="W72" s="10">
        <v>270.90935999999999</v>
      </c>
    </row>
    <row r="73" spans="1:23" x14ac:dyDescent="0.25">
      <c r="A73" t="s">
        <v>118</v>
      </c>
      <c r="B73" s="1">
        <f>(B70+B71+ B72)</f>
        <v>-5.0892479999999995</v>
      </c>
      <c r="C73" s="1">
        <f t="shared" ref="C73:W73" si="23">(C70+C71+ C72)</f>
        <v>0</v>
      </c>
      <c r="D73" s="1">
        <f t="shared" si="23"/>
        <v>-78.924719999999994</v>
      </c>
      <c r="E73" s="1">
        <f t="shared" si="23"/>
        <v>114.87012000000001</v>
      </c>
      <c r="F73" s="1">
        <f t="shared" si="23"/>
        <v>306.12033600000001</v>
      </c>
      <c r="G73" s="1">
        <f t="shared" si="23"/>
        <v>371.28753600000005</v>
      </c>
      <c r="H73" s="1">
        <f t="shared" si="23"/>
        <v>453.00126</v>
      </c>
      <c r="I73" s="1">
        <f t="shared" si="23"/>
        <v>431.79880800000001</v>
      </c>
      <c r="J73" s="1">
        <f t="shared" si="23"/>
        <v>419.73827999999997</v>
      </c>
      <c r="K73" s="1">
        <f t="shared" si="23"/>
        <v>372.95559000000003</v>
      </c>
      <c r="L73" s="1">
        <f t="shared" si="23"/>
        <v>387.179574</v>
      </c>
      <c r="M73" s="1">
        <f t="shared" si="23"/>
        <v>352.48132200000003</v>
      </c>
      <c r="N73" s="1">
        <f t="shared" si="23"/>
        <v>407.03177999999997</v>
      </c>
      <c r="O73" s="1">
        <f t="shared" si="23"/>
        <v>352.15041599999995</v>
      </c>
      <c r="P73" s="1">
        <f t="shared" si="23"/>
        <v>283.508352</v>
      </c>
      <c r="Q73" s="1">
        <f t="shared" si="23"/>
        <v>286.11504000000002</v>
      </c>
      <c r="R73" s="1">
        <f t="shared" si="23"/>
        <v>321.294264</v>
      </c>
      <c r="S73" s="1">
        <f t="shared" si="23"/>
        <v>314.66448000000003</v>
      </c>
      <c r="T73" s="1">
        <f t="shared" si="23"/>
        <v>344.57932799999998</v>
      </c>
      <c r="U73" s="1">
        <f t="shared" si="23"/>
        <v>325.51533599999999</v>
      </c>
      <c r="V73" s="1">
        <f t="shared" si="23"/>
        <v>380.18337600000001</v>
      </c>
      <c r="W73" s="1">
        <f t="shared" si="23"/>
        <v>464.22853799999996</v>
      </c>
    </row>
    <row r="75" spans="1:23" ht="15.75" x14ac:dyDescent="0.25">
      <c r="A75" s="3" t="s">
        <v>117</v>
      </c>
      <c r="B75" s="1">
        <f>(B67+B73)</f>
        <v>-16.271747999999999</v>
      </c>
      <c r="C75" s="1">
        <f t="shared" ref="C75:W75" si="24">(C67+C73)</f>
        <v>-14.91</v>
      </c>
      <c r="D75" s="1">
        <f t="shared" si="24"/>
        <v>-99.425969999999992</v>
      </c>
      <c r="E75" s="1">
        <f t="shared" si="24"/>
        <v>144.69012000000001</v>
      </c>
      <c r="F75" s="1">
        <f t="shared" si="24"/>
        <v>384.39783599999998</v>
      </c>
      <c r="G75" s="1">
        <f t="shared" si="24"/>
        <v>525.712536</v>
      </c>
      <c r="H75" s="1">
        <f t="shared" si="24"/>
        <v>665.12375999999995</v>
      </c>
      <c r="I75" s="1">
        <f t="shared" si="24"/>
        <v>609.16630799999996</v>
      </c>
      <c r="J75" s="1">
        <f t="shared" si="24"/>
        <v>582.93077999999991</v>
      </c>
      <c r="K75" s="1">
        <f t="shared" si="24"/>
        <v>509.92434000000003</v>
      </c>
      <c r="L75" s="1">
        <f t="shared" si="24"/>
        <v>527.24582399999997</v>
      </c>
      <c r="M75" s="1">
        <f t="shared" si="24"/>
        <v>450.54757200000006</v>
      </c>
      <c r="N75" s="1">
        <f t="shared" si="24"/>
        <v>538.04178000000002</v>
      </c>
      <c r="O75" s="1">
        <f t="shared" si="24"/>
        <v>498.33291599999995</v>
      </c>
      <c r="P75" s="1">
        <f t="shared" si="24"/>
        <v>374.56585200000001</v>
      </c>
      <c r="Q75" s="1">
        <f t="shared" si="24"/>
        <v>339.89754000000005</v>
      </c>
      <c r="R75" s="1">
        <f t="shared" si="24"/>
        <v>392.92676399999999</v>
      </c>
      <c r="S75" s="1">
        <f t="shared" si="24"/>
        <v>374.03823</v>
      </c>
      <c r="T75" s="1">
        <f t="shared" si="24"/>
        <v>409.54432799999995</v>
      </c>
      <c r="U75" s="1">
        <f t="shared" si="24"/>
        <v>364.38783599999999</v>
      </c>
      <c r="V75" s="1">
        <f t="shared" si="24"/>
        <v>445.14837599999998</v>
      </c>
      <c r="W75" s="1">
        <f t="shared" si="24"/>
        <v>591.48478799999998</v>
      </c>
    </row>
  </sheetData>
  <mergeCells count="5">
    <mergeCell ref="A1:W2"/>
    <mergeCell ref="A18:W19"/>
    <mergeCell ref="A38:W39"/>
    <mergeCell ref="A62:W63"/>
    <mergeCell ref="A3:W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K9" sqref="K9"/>
    </sheetView>
  </sheetViews>
  <sheetFormatPr defaultRowHeight="15" x14ac:dyDescent="0.25"/>
  <cols>
    <col min="1" max="1" width="10.28515625" customWidth="1"/>
    <col min="2" max="2" width="15.5703125" customWidth="1"/>
    <col min="3" max="3" width="15.28515625" customWidth="1"/>
    <col min="4" max="4" width="15.7109375" customWidth="1"/>
    <col min="5" max="5" width="16" customWidth="1"/>
    <col min="6" max="6" width="15" customWidth="1"/>
    <col min="7" max="7" width="18.140625" customWidth="1"/>
  </cols>
  <sheetData>
    <row r="1" spans="1:7" ht="15" customHeight="1" x14ac:dyDescent="0.25">
      <c r="A1" s="44" t="s">
        <v>48</v>
      </c>
      <c r="B1" s="44"/>
      <c r="C1" s="44"/>
      <c r="D1" s="44"/>
      <c r="E1" s="44"/>
      <c r="F1" s="44"/>
      <c r="G1" s="44"/>
    </row>
    <row r="2" spans="1:7" ht="15" customHeight="1" x14ac:dyDescent="0.25">
      <c r="A2" s="44"/>
      <c r="B2" s="44"/>
      <c r="C2" s="44"/>
      <c r="D2" s="44"/>
      <c r="E2" s="44"/>
      <c r="F2" s="44"/>
      <c r="G2" s="44"/>
    </row>
    <row r="4" spans="1:7" x14ac:dyDescent="0.25">
      <c r="B4" s="45" t="s">
        <v>136</v>
      </c>
      <c r="C4" s="45"/>
      <c r="D4" s="45"/>
      <c r="E4" s="45"/>
      <c r="F4" s="35" t="s">
        <v>137</v>
      </c>
    </row>
    <row r="5" spans="1:7" x14ac:dyDescent="0.25">
      <c r="B5" s="35" t="s">
        <v>49</v>
      </c>
      <c r="C5" s="35" t="s">
        <v>50</v>
      </c>
      <c r="D5" s="35" t="s">
        <v>51</v>
      </c>
      <c r="E5" s="35" t="s">
        <v>52</v>
      </c>
      <c r="F5" s="35" t="s">
        <v>32</v>
      </c>
      <c r="G5" s="33" t="s">
        <v>40</v>
      </c>
    </row>
    <row r="6" spans="1:7" x14ac:dyDescent="0.25">
      <c r="A6">
        <v>1997</v>
      </c>
      <c r="B6" s="33">
        <v>21645</v>
      </c>
      <c r="C6" s="33">
        <v>23219</v>
      </c>
      <c r="D6" s="33">
        <v>24061</v>
      </c>
      <c r="E6" s="33">
        <v>24921</v>
      </c>
      <c r="F6" s="33">
        <f>SUM(B6:E6)</f>
        <v>93846</v>
      </c>
      <c r="G6" s="36">
        <f>(F6/149657)*100</f>
        <v>62.707390900525873</v>
      </c>
    </row>
    <row r="7" spans="1:7" x14ac:dyDescent="0.25">
      <c r="A7">
        <v>1998</v>
      </c>
      <c r="B7" s="33">
        <v>24400</v>
      </c>
      <c r="C7" s="33">
        <v>24799</v>
      </c>
      <c r="D7" s="33">
        <v>25731</v>
      </c>
      <c r="E7" s="33">
        <v>25447</v>
      </c>
      <c r="F7" s="33">
        <f t="shared" ref="F7:F24" si="0">SUM(B7:E7)</f>
        <v>100377</v>
      </c>
      <c r="G7" s="36">
        <f t="shared" ref="G7:G24" si="1">(F7/149657)*100</f>
        <v>67.071369865759706</v>
      </c>
    </row>
    <row r="8" spans="1:7" x14ac:dyDescent="0.25">
      <c r="A8">
        <v>1999</v>
      </c>
      <c r="B8" s="33">
        <v>26626</v>
      </c>
      <c r="C8" s="33">
        <v>26432</v>
      </c>
      <c r="D8" s="33">
        <v>27479</v>
      </c>
      <c r="E8" s="33">
        <v>28346</v>
      </c>
      <c r="F8" s="33">
        <f t="shared" si="0"/>
        <v>108883</v>
      </c>
      <c r="G8" s="36">
        <f t="shared" si="1"/>
        <v>72.755033175862138</v>
      </c>
    </row>
    <row r="9" spans="1:7" x14ac:dyDescent="0.25">
      <c r="A9">
        <v>2000</v>
      </c>
      <c r="B9" s="33">
        <v>28547</v>
      </c>
      <c r="C9" s="33">
        <v>29927</v>
      </c>
      <c r="D9" s="33">
        <v>30388</v>
      </c>
      <c r="E9" s="33">
        <v>30694</v>
      </c>
      <c r="F9" s="33">
        <f t="shared" si="0"/>
        <v>119556</v>
      </c>
      <c r="G9" s="36">
        <f t="shared" si="1"/>
        <v>79.886674194992551</v>
      </c>
    </row>
    <row r="10" spans="1:7" x14ac:dyDescent="0.25">
      <c r="A10">
        <v>2001</v>
      </c>
      <c r="B10" s="33">
        <v>30668</v>
      </c>
      <c r="C10" s="33">
        <v>30280</v>
      </c>
      <c r="D10" s="33">
        <v>30573</v>
      </c>
      <c r="E10" s="33">
        <v>31279</v>
      </c>
      <c r="F10" s="33">
        <f t="shared" si="0"/>
        <v>122800</v>
      </c>
      <c r="G10" s="36">
        <f t="shared" si="1"/>
        <v>82.054297493602036</v>
      </c>
    </row>
    <row r="11" spans="1:7" x14ac:dyDescent="0.25">
      <c r="A11">
        <v>2002</v>
      </c>
      <c r="B11" s="33">
        <v>30174</v>
      </c>
      <c r="C11" s="33">
        <v>30801</v>
      </c>
      <c r="D11" s="33">
        <v>31854</v>
      </c>
      <c r="E11" s="33">
        <v>32405</v>
      </c>
      <c r="F11" s="33">
        <f t="shared" si="0"/>
        <v>125234</v>
      </c>
      <c r="G11" s="36">
        <f t="shared" si="1"/>
        <v>83.680683162164144</v>
      </c>
    </row>
    <row r="12" spans="1:7" x14ac:dyDescent="0.25">
      <c r="A12">
        <v>2003</v>
      </c>
      <c r="B12" s="33">
        <v>31484</v>
      </c>
      <c r="C12" s="33">
        <v>32200</v>
      </c>
      <c r="D12" s="33">
        <v>33036</v>
      </c>
      <c r="E12" s="33">
        <v>35442</v>
      </c>
      <c r="F12" s="33">
        <f t="shared" si="0"/>
        <v>132162</v>
      </c>
      <c r="G12" s="36">
        <f t="shared" si="1"/>
        <v>88.309935385581696</v>
      </c>
    </row>
    <row r="13" spans="1:7" x14ac:dyDescent="0.25">
      <c r="A13">
        <v>2004</v>
      </c>
      <c r="B13" s="33">
        <v>34033</v>
      </c>
      <c r="C13" s="33">
        <v>35052</v>
      </c>
      <c r="D13" s="33">
        <v>35201</v>
      </c>
      <c r="E13" s="33">
        <v>37128</v>
      </c>
      <c r="F13" s="33">
        <f t="shared" si="0"/>
        <v>141414</v>
      </c>
      <c r="G13" s="36">
        <f t="shared" si="1"/>
        <v>94.492071871011717</v>
      </c>
    </row>
    <row r="14" spans="1:7" x14ac:dyDescent="0.25">
      <c r="A14">
        <v>2005</v>
      </c>
      <c r="B14" s="33">
        <v>35954</v>
      </c>
      <c r="C14" s="33">
        <v>36126</v>
      </c>
      <c r="D14" s="33">
        <v>37574</v>
      </c>
      <c r="E14" s="33">
        <v>39491</v>
      </c>
      <c r="F14" s="33">
        <f t="shared" si="0"/>
        <v>149145</v>
      </c>
      <c r="G14" s="36">
        <f t="shared" si="1"/>
        <v>99.65788436224166</v>
      </c>
    </row>
    <row r="15" spans="1:7" x14ac:dyDescent="0.25">
      <c r="A15">
        <v>2006</v>
      </c>
      <c r="B15" s="33">
        <v>39055</v>
      </c>
      <c r="C15" s="33">
        <v>39579</v>
      </c>
      <c r="D15" s="33">
        <v>39391</v>
      </c>
      <c r="E15" s="33">
        <v>41123</v>
      </c>
      <c r="F15" s="33">
        <f t="shared" si="0"/>
        <v>159148</v>
      </c>
      <c r="G15" s="36">
        <f t="shared" si="1"/>
        <v>106.34183499602423</v>
      </c>
    </row>
    <row r="16" spans="1:7" x14ac:dyDescent="0.25">
      <c r="A16">
        <v>2007</v>
      </c>
      <c r="B16" s="33">
        <v>40917</v>
      </c>
      <c r="C16" s="33">
        <v>39796</v>
      </c>
      <c r="D16" s="33">
        <v>40276</v>
      </c>
      <c r="E16" s="33">
        <v>41297</v>
      </c>
      <c r="F16" s="33">
        <f t="shared" si="0"/>
        <v>162286</v>
      </c>
      <c r="G16" s="36">
        <f t="shared" si="1"/>
        <v>108.43862966650408</v>
      </c>
    </row>
    <row r="17" spans="1:7" x14ac:dyDescent="0.25">
      <c r="A17">
        <v>2008</v>
      </c>
      <c r="B17" s="33">
        <v>40525</v>
      </c>
      <c r="C17" s="33">
        <v>39095</v>
      </c>
      <c r="D17" s="33">
        <v>39120</v>
      </c>
      <c r="E17" s="33">
        <v>37360</v>
      </c>
      <c r="F17" s="33">
        <f t="shared" si="0"/>
        <v>156100</v>
      </c>
      <c r="G17" s="36">
        <f t="shared" si="1"/>
        <v>104.30517783999412</v>
      </c>
    </row>
    <row r="18" spans="1:7" x14ac:dyDescent="0.25">
      <c r="A18">
        <v>2009</v>
      </c>
      <c r="B18" s="33">
        <v>36563</v>
      </c>
      <c r="C18" s="33">
        <v>36028</v>
      </c>
      <c r="D18" s="33">
        <v>36015</v>
      </c>
      <c r="E18" s="33">
        <v>35356</v>
      </c>
      <c r="F18" s="33">
        <f t="shared" si="0"/>
        <v>143962</v>
      </c>
      <c r="G18" s="36">
        <f t="shared" si="1"/>
        <v>96.194631724543456</v>
      </c>
    </row>
    <row r="19" spans="1:7" x14ac:dyDescent="0.25">
      <c r="A19">
        <v>2010</v>
      </c>
      <c r="B19" s="33">
        <v>35992</v>
      </c>
      <c r="C19" s="33">
        <v>36600</v>
      </c>
      <c r="D19" s="33">
        <v>38542</v>
      </c>
      <c r="E19" s="33">
        <v>38240</v>
      </c>
      <c r="F19" s="33">
        <f t="shared" si="0"/>
        <v>149374</v>
      </c>
      <c r="G19" s="36">
        <f t="shared" si="1"/>
        <v>99.810900926785919</v>
      </c>
    </row>
    <row r="20" spans="1:7" x14ac:dyDescent="0.25">
      <c r="A20">
        <v>2011</v>
      </c>
      <c r="B20" s="33">
        <v>35260</v>
      </c>
      <c r="C20" s="33">
        <v>35999</v>
      </c>
      <c r="D20" s="33">
        <v>36797</v>
      </c>
      <c r="E20" s="33">
        <v>35379</v>
      </c>
      <c r="F20" s="33">
        <f t="shared" si="0"/>
        <v>143435</v>
      </c>
      <c r="G20" s="36">
        <f t="shared" si="1"/>
        <v>95.84249316771016</v>
      </c>
    </row>
    <row r="21" spans="1:7" x14ac:dyDescent="0.25">
      <c r="A21">
        <v>2012</v>
      </c>
      <c r="B21" s="33">
        <v>34749</v>
      </c>
      <c r="C21" s="33">
        <v>36133</v>
      </c>
      <c r="D21" s="33">
        <v>36410</v>
      </c>
      <c r="E21" s="33">
        <v>35610</v>
      </c>
      <c r="F21" s="33">
        <f t="shared" si="0"/>
        <v>142902</v>
      </c>
      <c r="G21" s="36">
        <f t="shared" si="1"/>
        <v>95.48634544324689</v>
      </c>
    </row>
    <row r="22" spans="1:7" x14ac:dyDescent="0.25">
      <c r="A22">
        <v>2013</v>
      </c>
      <c r="B22" s="33">
        <v>35974</v>
      </c>
      <c r="C22" s="33">
        <v>35690</v>
      </c>
      <c r="D22" s="33">
        <v>39639</v>
      </c>
      <c r="E22" s="33">
        <v>38354</v>
      </c>
      <c r="F22" s="33">
        <f t="shared" si="0"/>
        <v>149657</v>
      </c>
      <c r="G22" s="38">
        <f t="shared" si="1"/>
        <v>100</v>
      </c>
    </row>
    <row r="23" spans="1:7" x14ac:dyDescent="0.25">
      <c r="A23">
        <v>2014</v>
      </c>
      <c r="B23" s="33">
        <v>38525</v>
      </c>
      <c r="C23" s="33">
        <v>39424</v>
      </c>
      <c r="D23" s="33">
        <v>42921</v>
      </c>
      <c r="E23" s="33">
        <v>42575</v>
      </c>
      <c r="F23" s="33">
        <f t="shared" si="0"/>
        <v>163445</v>
      </c>
      <c r="G23" s="36">
        <f t="shared" si="1"/>
        <v>109.21306721369533</v>
      </c>
    </row>
    <row r="24" spans="1:7" x14ac:dyDescent="0.25">
      <c r="A24">
        <v>2015</v>
      </c>
      <c r="B24" s="33">
        <v>45112</v>
      </c>
      <c r="C24" s="33">
        <v>49668</v>
      </c>
      <c r="D24" s="33">
        <v>49733</v>
      </c>
      <c r="E24" s="33">
        <v>49473</v>
      </c>
      <c r="F24" s="33">
        <f t="shared" si="0"/>
        <v>193986</v>
      </c>
      <c r="G24" s="36">
        <f t="shared" si="1"/>
        <v>129.62039864490134</v>
      </c>
    </row>
  </sheetData>
  <mergeCells count="2">
    <mergeCell ref="B4:E4"/>
    <mergeCell ref="A1:G2"/>
  </mergeCell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L14" sqref="L14"/>
    </sheetView>
  </sheetViews>
  <sheetFormatPr defaultRowHeight="15" x14ac:dyDescent="0.25"/>
  <sheetData>
    <row r="1" spans="1:6" x14ac:dyDescent="0.25">
      <c r="A1" s="46" t="s">
        <v>138</v>
      </c>
      <c r="B1" s="46"/>
      <c r="C1" s="46"/>
      <c r="D1" s="46"/>
      <c r="E1" s="46"/>
      <c r="F1" s="46"/>
    </row>
    <row r="2" spans="1:6" x14ac:dyDescent="0.25">
      <c r="A2" s="46"/>
      <c r="B2" s="46"/>
      <c r="C2" s="46"/>
      <c r="D2" s="46"/>
      <c r="E2" s="46"/>
      <c r="F2" s="46"/>
    </row>
    <row r="3" spans="1:6" x14ac:dyDescent="0.25">
      <c r="A3" s="47" t="s">
        <v>70</v>
      </c>
      <c r="B3" s="47"/>
      <c r="C3" s="47"/>
      <c r="D3" s="47"/>
      <c r="E3" s="47"/>
      <c r="F3" s="47"/>
    </row>
    <row r="4" spans="1:6" x14ac:dyDescent="0.25">
      <c r="A4" s="47"/>
      <c r="B4" s="47"/>
      <c r="C4" s="47"/>
      <c r="D4" s="47"/>
      <c r="E4" s="47"/>
      <c r="F4" s="47"/>
    </row>
    <row r="6" spans="1:6" x14ac:dyDescent="0.25">
      <c r="B6" s="45" t="s">
        <v>67</v>
      </c>
      <c r="C6" s="45"/>
      <c r="D6" s="35"/>
      <c r="E6" s="45" t="s">
        <v>69</v>
      </c>
      <c r="F6" s="45"/>
    </row>
    <row r="7" spans="1:6" x14ac:dyDescent="0.25">
      <c r="B7" s="33" t="s">
        <v>29</v>
      </c>
      <c r="C7" s="33" t="s">
        <v>8</v>
      </c>
      <c r="D7" s="33"/>
      <c r="E7" s="33" t="s">
        <v>29</v>
      </c>
      <c r="F7" s="33" t="s">
        <v>8</v>
      </c>
    </row>
    <row r="8" spans="1:6" x14ac:dyDescent="0.25">
      <c r="B8" s="33" t="s">
        <v>68</v>
      </c>
      <c r="C8" s="33" t="s">
        <v>68</v>
      </c>
      <c r="D8" s="33"/>
      <c r="E8" s="33" t="s">
        <v>68</v>
      </c>
      <c r="F8" s="33" t="s">
        <v>68</v>
      </c>
    </row>
    <row r="9" spans="1:6" x14ac:dyDescent="0.25">
      <c r="A9" s="40">
        <v>2014</v>
      </c>
      <c r="B9" s="33"/>
      <c r="C9" s="33"/>
      <c r="D9" s="33"/>
      <c r="E9" s="33"/>
      <c r="F9" s="33"/>
    </row>
    <row r="10" spans="1:6" x14ac:dyDescent="0.25">
      <c r="A10" t="s">
        <v>55</v>
      </c>
      <c r="B10" s="33">
        <v>1531</v>
      </c>
      <c r="C10" s="33">
        <v>1479</v>
      </c>
      <c r="D10" s="33"/>
      <c r="E10" s="33">
        <v>1569</v>
      </c>
      <c r="F10" s="33">
        <v>1663</v>
      </c>
    </row>
    <row r="11" spans="1:6" x14ac:dyDescent="0.25">
      <c r="A11" t="s">
        <v>56</v>
      </c>
      <c r="B11" s="33">
        <v>1533</v>
      </c>
      <c r="C11" s="33">
        <v>1484</v>
      </c>
      <c r="D11" s="33"/>
      <c r="E11" s="33">
        <v>1560</v>
      </c>
      <c r="F11" s="33">
        <v>1657</v>
      </c>
    </row>
    <row r="12" spans="1:6" x14ac:dyDescent="0.25">
      <c r="A12" t="s">
        <v>57</v>
      </c>
      <c r="B12" s="33">
        <v>1520</v>
      </c>
      <c r="C12" s="33">
        <v>1471</v>
      </c>
      <c r="D12" s="33"/>
      <c r="E12" s="33">
        <v>1572</v>
      </c>
      <c r="F12" s="33">
        <v>1666</v>
      </c>
    </row>
    <row r="13" spans="1:6" x14ac:dyDescent="0.25">
      <c r="A13" t="s">
        <v>58</v>
      </c>
      <c r="B13" s="33">
        <v>1533</v>
      </c>
      <c r="C13" s="33">
        <v>1479</v>
      </c>
      <c r="D13" s="33"/>
      <c r="E13" s="33">
        <v>1556</v>
      </c>
      <c r="F13" s="33">
        <v>1644</v>
      </c>
    </row>
    <row r="14" spans="1:6" x14ac:dyDescent="0.25">
      <c r="A14" t="s">
        <v>59</v>
      </c>
      <c r="B14" s="33">
        <v>1529</v>
      </c>
      <c r="C14" s="33">
        <v>1472</v>
      </c>
      <c r="D14" s="33"/>
      <c r="E14" s="33">
        <v>1571</v>
      </c>
      <c r="F14" s="33">
        <v>1655</v>
      </c>
    </row>
    <row r="15" spans="1:6" x14ac:dyDescent="0.25">
      <c r="A15" t="s">
        <v>60</v>
      </c>
      <c r="B15" s="33">
        <v>1542</v>
      </c>
      <c r="C15" s="33">
        <v>1475</v>
      </c>
      <c r="D15" s="33"/>
      <c r="E15" s="33">
        <v>1595</v>
      </c>
      <c r="F15" s="33">
        <v>1678</v>
      </c>
    </row>
    <row r="16" spans="1:6" x14ac:dyDescent="0.25">
      <c r="A16" t="s">
        <v>61</v>
      </c>
      <c r="B16" s="33">
        <v>1545</v>
      </c>
      <c r="C16" s="33">
        <v>1471</v>
      </c>
      <c r="D16" s="33"/>
      <c r="E16" s="33">
        <v>1651</v>
      </c>
      <c r="F16" s="33">
        <v>1716</v>
      </c>
    </row>
    <row r="17" spans="1:6" x14ac:dyDescent="0.25">
      <c r="A17" t="s">
        <v>62</v>
      </c>
      <c r="B17" s="33">
        <v>1570</v>
      </c>
      <c r="C17" s="33">
        <v>1481</v>
      </c>
      <c r="D17" s="33"/>
      <c r="E17" s="33">
        <v>1626</v>
      </c>
      <c r="F17" s="33">
        <v>1685</v>
      </c>
    </row>
    <row r="18" spans="1:6" x14ac:dyDescent="0.25">
      <c r="A18" t="s">
        <v>63</v>
      </c>
      <c r="B18" s="33">
        <v>1547</v>
      </c>
      <c r="C18" s="33">
        <v>1468</v>
      </c>
      <c r="D18" s="33"/>
      <c r="E18" s="33">
        <v>1620</v>
      </c>
      <c r="F18" s="33">
        <v>1686</v>
      </c>
    </row>
    <row r="19" spans="1:6" x14ac:dyDescent="0.25">
      <c r="A19" t="s">
        <v>64</v>
      </c>
      <c r="B19" s="33">
        <v>1573</v>
      </c>
      <c r="C19" s="33">
        <v>1479</v>
      </c>
      <c r="D19" s="33"/>
      <c r="E19" s="33">
        <v>1613</v>
      </c>
      <c r="F19" s="33">
        <v>1673</v>
      </c>
    </row>
    <row r="20" spans="1:6" x14ac:dyDescent="0.25">
      <c r="A20" t="s">
        <v>65</v>
      </c>
      <c r="B20" s="33">
        <v>1499</v>
      </c>
      <c r="C20" s="33">
        <v>1399</v>
      </c>
      <c r="D20" s="33"/>
      <c r="E20" s="33">
        <v>1587</v>
      </c>
      <c r="F20" s="33">
        <v>1646</v>
      </c>
    </row>
    <row r="21" spans="1:6" x14ac:dyDescent="0.25">
      <c r="A21" t="s">
        <v>66</v>
      </c>
      <c r="B21" s="33">
        <v>1459</v>
      </c>
      <c r="C21" s="33">
        <v>1399</v>
      </c>
      <c r="D21" s="33"/>
      <c r="E21" s="33">
        <v>1529</v>
      </c>
      <c r="F21" s="33">
        <v>1591</v>
      </c>
    </row>
    <row r="22" spans="1:6" x14ac:dyDescent="0.25">
      <c r="B22" s="33"/>
      <c r="C22" s="33"/>
      <c r="D22" s="33"/>
      <c r="E22" s="33"/>
      <c r="F22" s="33"/>
    </row>
    <row r="23" spans="1:6" x14ac:dyDescent="0.25">
      <c r="A23" s="2" t="s">
        <v>71</v>
      </c>
      <c r="B23" s="39">
        <f>SUM(B10:B21)/12</f>
        <v>1531.75</v>
      </c>
      <c r="C23" s="39">
        <f t="shared" ref="C23:F23" si="0">SUM(C10:C21)/12</f>
        <v>1463.0833333333333</v>
      </c>
      <c r="D23" s="39"/>
      <c r="E23" s="39">
        <f t="shared" si="0"/>
        <v>1587.4166666666667</v>
      </c>
      <c r="F23" s="39">
        <f t="shared" si="0"/>
        <v>1663.3333333333333</v>
      </c>
    </row>
    <row r="24" spans="1:6" x14ac:dyDescent="0.25">
      <c r="A24" s="2"/>
      <c r="B24" s="22"/>
      <c r="C24" s="22"/>
      <c r="D24" s="22"/>
      <c r="E24" s="22"/>
      <c r="F24" s="22"/>
    </row>
    <row r="25" spans="1:6" x14ac:dyDescent="0.25">
      <c r="A25" s="45" t="s">
        <v>72</v>
      </c>
      <c r="B25" s="45"/>
      <c r="C25" s="45"/>
      <c r="D25" s="22"/>
      <c r="E25" s="22">
        <f>SUM(E23-B23)</f>
        <v>55.666666666666742</v>
      </c>
      <c r="F25" s="22">
        <f>SUM(F23-C23)</f>
        <v>200.25</v>
      </c>
    </row>
    <row r="27" spans="1:6" x14ac:dyDescent="0.25">
      <c r="A27" s="40">
        <v>2015</v>
      </c>
    </row>
    <row r="28" spans="1:6" x14ac:dyDescent="0.25">
      <c r="A28" t="s">
        <v>55</v>
      </c>
      <c r="B28">
        <v>1299</v>
      </c>
      <c r="C28">
        <v>1247</v>
      </c>
      <c r="E28">
        <v>1419</v>
      </c>
      <c r="F28">
        <v>1507</v>
      </c>
    </row>
    <row r="29" spans="1:6" x14ac:dyDescent="0.25">
      <c r="A29" t="s">
        <v>56</v>
      </c>
      <c r="B29">
        <v>1259</v>
      </c>
      <c r="C29">
        <v>1199</v>
      </c>
      <c r="E29">
        <v>1409</v>
      </c>
      <c r="F29">
        <v>1510</v>
      </c>
    </row>
    <row r="30" spans="1:6" x14ac:dyDescent="0.25">
      <c r="A30" t="s">
        <v>57</v>
      </c>
      <c r="B30">
        <v>1329</v>
      </c>
      <c r="C30">
        <v>1269</v>
      </c>
      <c r="E30">
        <v>1497</v>
      </c>
      <c r="F30">
        <v>1599</v>
      </c>
    </row>
    <row r="31" spans="1:6" x14ac:dyDescent="0.25">
      <c r="A31" t="s">
        <v>58</v>
      </c>
      <c r="B31">
        <v>1399</v>
      </c>
      <c r="C31">
        <v>1299</v>
      </c>
      <c r="E31">
        <v>1560</v>
      </c>
      <c r="F31">
        <v>1651</v>
      </c>
    </row>
    <row r="32" spans="1:6" x14ac:dyDescent="0.25">
      <c r="A32" t="s">
        <v>59</v>
      </c>
      <c r="B32">
        <v>1439</v>
      </c>
      <c r="C32">
        <v>1329</v>
      </c>
      <c r="E32">
        <v>1549</v>
      </c>
      <c r="F32">
        <v>1626</v>
      </c>
    </row>
    <row r="33" spans="1:6" x14ac:dyDescent="0.25">
      <c r="A33" t="s">
        <v>60</v>
      </c>
      <c r="B33">
        <v>1439</v>
      </c>
      <c r="C33">
        <v>1339</v>
      </c>
      <c r="E33">
        <v>1615</v>
      </c>
      <c r="F33">
        <v>1686</v>
      </c>
    </row>
    <row r="34" spans="1:6" x14ac:dyDescent="0.25">
      <c r="A34" t="s">
        <v>61</v>
      </c>
      <c r="B34">
        <v>1479</v>
      </c>
      <c r="C34">
        <v>1339</v>
      </c>
      <c r="E34">
        <v>1643</v>
      </c>
      <c r="F34">
        <v>1705</v>
      </c>
    </row>
    <row r="35" spans="1:6" x14ac:dyDescent="0.25">
      <c r="A35" t="s">
        <v>62</v>
      </c>
      <c r="B35">
        <v>1449</v>
      </c>
      <c r="C35">
        <v>1299</v>
      </c>
      <c r="E35">
        <v>1652</v>
      </c>
      <c r="F35">
        <v>1639</v>
      </c>
    </row>
    <row r="36" spans="1:6" x14ac:dyDescent="0.25">
      <c r="A36" t="s">
        <v>63</v>
      </c>
      <c r="B36">
        <v>1369</v>
      </c>
      <c r="C36">
        <v>1199</v>
      </c>
      <c r="E36">
        <v>1518</v>
      </c>
      <c r="F36">
        <v>1503</v>
      </c>
    </row>
    <row r="37" spans="1:6" x14ac:dyDescent="0.25">
      <c r="A37" t="s">
        <v>64</v>
      </c>
      <c r="B37">
        <v>1339</v>
      </c>
      <c r="C37">
        <v>1189</v>
      </c>
      <c r="E37">
        <v>1472</v>
      </c>
      <c r="F37">
        <v>1494</v>
      </c>
    </row>
    <row r="38" spans="1:6" x14ac:dyDescent="0.25">
      <c r="A38" t="s">
        <v>65</v>
      </c>
      <c r="B38">
        <v>1299</v>
      </c>
      <c r="C38">
        <v>1199</v>
      </c>
      <c r="E38">
        <v>1503</v>
      </c>
      <c r="F38">
        <v>1544</v>
      </c>
    </row>
    <row r="39" spans="1:6" x14ac:dyDescent="0.25">
      <c r="A39" t="s">
        <v>66</v>
      </c>
      <c r="B39">
        <v>1299</v>
      </c>
      <c r="C39">
        <v>1199</v>
      </c>
      <c r="E39">
        <v>1487</v>
      </c>
      <c r="F39">
        <v>1532</v>
      </c>
    </row>
    <row r="41" spans="1:6" x14ac:dyDescent="0.25">
      <c r="A41" s="2" t="s">
        <v>71</v>
      </c>
      <c r="B41" s="22">
        <f>SUM(B28:B39)/12</f>
        <v>1366.5</v>
      </c>
      <c r="C41" s="22">
        <f t="shared" ref="C41:F41" si="1">SUM(C28:C39)/12</f>
        <v>1258.8333333333333</v>
      </c>
      <c r="D41" s="22"/>
      <c r="E41" s="22">
        <f t="shared" si="1"/>
        <v>1527</v>
      </c>
      <c r="F41" s="22">
        <f t="shared" si="1"/>
        <v>1583</v>
      </c>
    </row>
    <row r="43" spans="1:6" x14ac:dyDescent="0.25">
      <c r="A43" s="45" t="s">
        <v>72</v>
      </c>
      <c r="B43" s="45"/>
      <c r="C43" s="45"/>
      <c r="E43" s="22">
        <f>SUM(E41-B41)</f>
        <v>160.5</v>
      </c>
      <c r="F43" s="22">
        <f>SUM(F41-C41)</f>
        <v>324.16666666666674</v>
      </c>
    </row>
  </sheetData>
  <mergeCells count="6">
    <mergeCell ref="A43:C43"/>
    <mergeCell ref="A1:F2"/>
    <mergeCell ref="B6:C6"/>
    <mergeCell ref="E6:F6"/>
    <mergeCell ref="A3:F4"/>
    <mergeCell ref="A25:C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Normal="100" workbookViewId="0">
      <selection activeCell="K44" sqref="K44"/>
    </sheetView>
  </sheetViews>
  <sheetFormatPr defaultRowHeight="15" x14ac:dyDescent="0.25"/>
  <cols>
    <col min="1" max="1" width="59.7109375" customWidth="1"/>
    <col min="2" max="2" width="11.85546875" customWidth="1"/>
    <col min="3" max="3" width="12.42578125" customWidth="1"/>
    <col min="4" max="5" width="13.5703125" customWidth="1"/>
    <col min="6" max="6" width="15.28515625" customWidth="1"/>
    <col min="7" max="8" width="14" customWidth="1"/>
    <col min="9" max="9" width="16.42578125" customWidth="1"/>
  </cols>
  <sheetData>
    <row r="1" spans="1:9" ht="15" customHeight="1" x14ac:dyDescent="0.25">
      <c r="A1" s="44" t="s">
        <v>132</v>
      </c>
      <c r="B1" s="44"/>
      <c r="C1" s="44"/>
      <c r="D1" s="44"/>
      <c r="E1" s="44"/>
      <c r="F1" s="44"/>
      <c r="G1" s="44"/>
      <c r="H1" s="44"/>
      <c r="I1" s="44"/>
    </row>
    <row r="2" spans="1:9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ht="15" customHeight="1" x14ac:dyDescent="0.3">
      <c r="A3" s="34"/>
      <c r="B3" s="34"/>
      <c r="C3" s="34"/>
      <c r="D3" s="34"/>
      <c r="E3" s="34"/>
      <c r="F3" s="34"/>
      <c r="G3" s="34"/>
      <c r="H3" s="34"/>
      <c r="I3" s="34"/>
    </row>
    <row r="4" spans="1:9" ht="15.75" x14ac:dyDescent="0.25">
      <c r="A4" s="2"/>
      <c r="B4" s="46">
        <v>2015</v>
      </c>
      <c r="C4" s="46"/>
      <c r="D4" s="46"/>
      <c r="E4" s="46"/>
      <c r="F4" s="25"/>
      <c r="G4" s="25"/>
      <c r="H4" s="25"/>
    </row>
    <row r="5" spans="1:9" x14ac:dyDescent="0.25">
      <c r="A5" s="2" t="s">
        <v>75</v>
      </c>
      <c r="B5" s="12" t="s">
        <v>26</v>
      </c>
      <c r="C5" s="12" t="s">
        <v>86</v>
      </c>
      <c r="D5" s="12" t="s">
        <v>77</v>
      </c>
    </row>
    <row r="6" spans="1:9" x14ac:dyDescent="0.25">
      <c r="A6" t="s">
        <v>0</v>
      </c>
      <c r="B6" s="1">
        <v>976.74374999999998</v>
      </c>
      <c r="C6" s="14">
        <f>(2.931*(1-0.023))</f>
        <v>2.8635869999999999</v>
      </c>
      <c r="D6" s="1">
        <f>(B6*C6)</f>
        <v>2796.9907048312498</v>
      </c>
      <c r="E6" s="1"/>
    </row>
    <row r="7" spans="1:9" x14ac:dyDescent="0.25">
      <c r="A7" t="s">
        <v>1</v>
      </c>
      <c r="B7">
        <v>16</v>
      </c>
      <c r="C7" s="14">
        <f t="shared" ref="C7:C12" si="0">(2.931*(1-0.023))</f>
        <v>2.8635869999999999</v>
      </c>
      <c r="D7" s="1">
        <f t="shared" ref="D7:D8" si="1">(B7*C7)</f>
        <v>45.817391999999998</v>
      </c>
      <c r="E7" s="1"/>
    </row>
    <row r="8" spans="1:9" x14ac:dyDescent="0.25">
      <c r="A8" t="s">
        <v>3</v>
      </c>
      <c r="B8">
        <v>1</v>
      </c>
      <c r="C8" s="14">
        <f t="shared" si="0"/>
        <v>2.8635869999999999</v>
      </c>
      <c r="D8" s="1">
        <f t="shared" si="1"/>
        <v>2.8635869999999999</v>
      </c>
      <c r="E8" s="1"/>
    </row>
    <row r="9" spans="1:9" x14ac:dyDescent="0.25">
      <c r="A9" t="s">
        <v>4</v>
      </c>
      <c r="C9" s="14"/>
    </row>
    <row r="10" spans="1:9" x14ac:dyDescent="0.25">
      <c r="A10" t="s">
        <v>11</v>
      </c>
      <c r="B10" s="1">
        <v>117.14999999999999</v>
      </c>
      <c r="C10" s="14"/>
    </row>
    <row r="11" spans="1:9" x14ac:dyDescent="0.25">
      <c r="A11" t="s">
        <v>23</v>
      </c>
      <c r="B11" s="11">
        <v>10.106250000000001</v>
      </c>
      <c r="C11" s="14"/>
    </row>
    <row r="12" spans="1:9" x14ac:dyDescent="0.25">
      <c r="A12" t="s">
        <v>6</v>
      </c>
      <c r="B12" s="10">
        <f>(B10+B11)</f>
        <v>127.25624999999999</v>
      </c>
      <c r="C12" s="14">
        <f t="shared" si="0"/>
        <v>2.8635869999999999</v>
      </c>
      <c r="D12" s="10">
        <f>(B12*C12)</f>
        <v>364.40934316874996</v>
      </c>
      <c r="E12" s="10"/>
    </row>
    <row r="13" spans="1:9" x14ac:dyDescent="0.25">
      <c r="A13" s="2" t="s">
        <v>6</v>
      </c>
      <c r="B13" s="1">
        <v>1121</v>
      </c>
      <c r="D13" s="1">
        <f>SUM(D6:D12)</f>
        <v>3210.0810269999993</v>
      </c>
      <c r="E13" s="1"/>
    </row>
    <row r="16" spans="1:9" x14ac:dyDescent="0.25">
      <c r="A16" s="2" t="s">
        <v>76</v>
      </c>
    </row>
    <row r="17" spans="1:5" x14ac:dyDescent="0.25">
      <c r="A17" t="s">
        <v>27</v>
      </c>
      <c r="B17" s="1">
        <v>867.53303543009781</v>
      </c>
      <c r="C17" s="14">
        <f>(3.069*(1-0.023))</f>
        <v>2.9984129999999998</v>
      </c>
      <c r="D17" s="1">
        <f>(B17*C17)</f>
        <v>2601.2223313630657</v>
      </c>
    </row>
    <row r="18" spans="1:5" x14ac:dyDescent="0.25">
      <c r="A18" t="s">
        <v>0</v>
      </c>
      <c r="B18" s="1">
        <v>1294.2384265699022</v>
      </c>
      <c r="C18" s="14">
        <f t="shared" ref="C18:C26" si="2">(3.069*(1-0.023))</f>
        <v>2.9984129999999998</v>
      </c>
      <c r="D18" s="1">
        <f t="shared" ref="D18:D27" si="3">(B18*C18)</f>
        <v>3880.6613233267399</v>
      </c>
    </row>
    <row r="19" spans="1:5" x14ac:dyDescent="0.25">
      <c r="A19" t="s">
        <v>1</v>
      </c>
      <c r="B19" s="1">
        <v>116</v>
      </c>
      <c r="C19" s="14">
        <f t="shared" si="2"/>
        <v>2.9984129999999998</v>
      </c>
      <c r="D19" s="1">
        <f t="shared" si="3"/>
        <v>347.81590799999998</v>
      </c>
    </row>
    <row r="20" spans="1:5" x14ac:dyDescent="0.25">
      <c r="A20" t="s">
        <v>2</v>
      </c>
      <c r="B20" s="1">
        <v>36</v>
      </c>
      <c r="C20" s="14">
        <f t="shared" si="2"/>
        <v>2.9984129999999998</v>
      </c>
      <c r="D20" s="1">
        <f t="shared" si="3"/>
        <v>107.94286799999999</v>
      </c>
    </row>
    <row r="21" spans="1:5" x14ac:dyDescent="0.25">
      <c r="A21" t="s">
        <v>4</v>
      </c>
      <c r="B21" s="1"/>
      <c r="C21" s="14"/>
      <c r="D21" s="1"/>
    </row>
    <row r="22" spans="1:5" x14ac:dyDescent="0.25">
      <c r="A22" t="s">
        <v>11</v>
      </c>
      <c r="B22" s="1">
        <v>183.21292800000001</v>
      </c>
      <c r="C22" s="14"/>
      <c r="D22" s="1"/>
    </row>
    <row r="23" spans="1:5" x14ac:dyDescent="0.25">
      <c r="A23" t="s">
        <v>24</v>
      </c>
      <c r="B23" s="1">
        <v>10.106250000000001</v>
      </c>
      <c r="C23" s="14"/>
      <c r="D23" s="1"/>
    </row>
    <row r="24" spans="1:5" x14ac:dyDescent="0.25">
      <c r="A24" t="s">
        <v>25</v>
      </c>
      <c r="B24" s="1">
        <v>270.90935999999999</v>
      </c>
      <c r="C24" s="14"/>
      <c r="D24" s="1"/>
    </row>
    <row r="25" spans="1:5" x14ac:dyDescent="0.25">
      <c r="A25" t="s">
        <v>6</v>
      </c>
      <c r="B25" s="1">
        <v>464.22853799999996</v>
      </c>
      <c r="C25" s="14">
        <f t="shared" si="2"/>
        <v>2.9984129999999998</v>
      </c>
      <c r="D25" s="1">
        <f t="shared" si="3"/>
        <v>1391.9488833101939</v>
      </c>
    </row>
    <row r="26" spans="1:5" x14ac:dyDescent="0.25">
      <c r="A26" t="s">
        <v>5</v>
      </c>
      <c r="B26" s="1">
        <v>71</v>
      </c>
      <c r="C26" s="14">
        <f t="shared" si="2"/>
        <v>2.9984129999999998</v>
      </c>
      <c r="D26" s="10">
        <f t="shared" si="3"/>
        <v>212.88732299999998</v>
      </c>
    </row>
    <row r="27" spans="1:5" x14ac:dyDescent="0.25">
      <c r="A27" s="2" t="s">
        <v>6</v>
      </c>
      <c r="B27" s="1">
        <f>(B17+B18+B19+B20+B25+B26)</f>
        <v>2849</v>
      </c>
      <c r="C27" s="14">
        <f>(3.069*(1-0.023))</f>
        <v>2.9984129999999998</v>
      </c>
      <c r="D27" s="1">
        <f t="shared" si="3"/>
        <v>8542.4786370000002</v>
      </c>
    </row>
    <row r="28" spans="1:5" x14ac:dyDescent="0.25">
      <c r="B28" s="1"/>
    </row>
    <row r="29" spans="1:5" x14ac:dyDescent="0.25">
      <c r="A29" s="2" t="s">
        <v>78</v>
      </c>
      <c r="B29" s="24" t="s">
        <v>26</v>
      </c>
      <c r="D29" s="12" t="s">
        <v>77</v>
      </c>
      <c r="E29" s="12" t="s">
        <v>79</v>
      </c>
    </row>
    <row r="30" spans="1:5" x14ac:dyDescent="0.25">
      <c r="A30" t="s">
        <v>27</v>
      </c>
      <c r="B30" s="1">
        <f>(B17)</f>
        <v>867.53303543009781</v>
      </c>
      <c r="D30" s="1">
        <f>(D17)</f>
        <v>2601.2223313630657</v>
      </c>
      <c r="E30" s="20">
        <f>(D30/11556)*100</f>
        <v>22.509712109406937</v>
      </c>
    </row>
    <row r="31" spans="1:5" x14ac:dyDescent="0.25">
      <c r="A31" t="s">
        <v>0</v>
      </c>
      <c r="B31" s="1">
        <f>(B6+B18)</f>
        <v>2270.9821765699021</v>
      </c>
      <c r="D31" s="1">
        <f>(D6+D18)</f>
        <v>6677.6520281579897</v>
      </c>
      <c r="E31" s="20">
        <f t="shared" ref="E31:E36" si="4">(D31/11556)*100</f>
        <v>57.785150814797412</v>
      </c>
    </row>
    <row r="32" spans="1:5" x14ac:dyDescent="0.25">
      <c r="A32" t="s">
        <v>1</v>
      </c>
      <c r="B32" s="1">
        <f>(B7+B19)</f>
        <v>132</v>
      </c>
      <c r="D32" s="1">
        <f>(D7+D19)</f>
        <v>393.63329999999996</v>
      </c>
      <c r="E32" s="20">
        <f t="shared" si="4"/>
        <v>3.4063110072689509</v>
      </c>
    </row>
    <row r="33" spans="1:9" x14ac:dyDescent="0.25">
      <c r="A33" t="s">
        <v>2</v>
      </c>
      <c r="B33" s="1">
        <f>(B20)</f>
        <v>36</v>
      </c>
      <c r="D33" s="1">
        <f>(D20)</f>
        <v>107.94286799999999</v>
      </c>
      <c r="E33" s="20">
        <f t="shared" si="4"/>
        <v>0.93408504672897186</v>
      </c>
    </row>
    <row r="34" spans="1:9" x14ac:dyDescent="0.25">
      <c r="A34" t="s">
        <v>4</v>
      </c>
      <c r="B34" s="1">
        <f>(B12+B25)</f>
        <v>591.48478799999998</v>
      </c>
      <c r="D34" s="1">
        <f>(D12+D25)</f>
        <v>1756.3582264789438</v>
      </c>
      <c r="E34" s="20">
        <f t="shared" si="4"/>
        <v>15.198669318786292</v>
      </c>
    </row>
    <row r="35" spans="1:9" x14ac:dyDescent="0.25">
      <c r="A35" t="s">
        <v>5</v>
      </c>
      <c r="B35" s="10">
        <f>(B26)</f>
        <v>71</v>
      </c>
      <c r="D35" s="10">
        <f>(D26*0.2)</f>
        <v>42.577464599999999</v>
      </c>
      <c r="E35" s="20">
        <f t="shared" si="4"/>
        <v>0.36844465732087228</v>
      </c>
    </row>
    <row r="36" spans="1:9" x14ac:dyDescent="0.25">
      <c r="A36" s="2" t="s">
        <v>6</v>
      </c>
      <c r="B36" s="1">
        <f>SUM(B30:B35)</f>
        <v>3969</v>
      </c>
      <c r="D36" s="1">
        <f>SUM(D30:D35)</f>
        <v>11579.386218599999</v>
      </c>
      <c r="E36" s="20">
        <f t="shared" si="4"/>
        <v>100.20237295430945</v>
      </c>
    </row>
    <row r="37" spans="1:9" x14ac:dyDescent="0.25">
      <c r="A37" s="2"/>
      <c r="B37" s="37"/>
      <c r="C37" s="37"/>
      <c r="D37" s="37"/>
      <c r="E37" s="37"/>
      <c r="F37" s="37"/>
      <c r="G37" s="37"/>
      <c r="H37" s="37"/>
      <c r="I37" s="37"/>
    </row>
    <row r="38" spans="1:9" ht="15.75" x14ac:dyDescent="0.25">
      <c r="B38" s="46" t="s">
        <v>133</v>
      </c>
      <c r="C38" s="46"/>
      <c r="D38" s="46"/>
      <c r="E38" s="46"/>
      <c r="F38" s="46"/>
      <c r="G38" s="46"/>
      <c r="H38" s="46"/>
      <c r="I38" s="46"/>
    </row>
    <row r="39" spans="1:9" x14ac:dyDescent="0.25">
      <c r="A39" s="2" t="s">
        <v>80</v>
      </c>
      <c r="E39" s="20"/>
    </row>
    <row r="40" spans="1:9" x14ac:dyDescent="0.25">
      <c r="A40" t="s">
        <v>81</v>
      </c>
      <c r="E40" s="20"/>
    </row>
    <row r="41" spans="1:9" x14ac:dyDescent="0.25">
      <c r="A41" s="8" t="s">
        <v>82</v>
      </c>
    </row>
    <row r="42" spans="1:9" x14ac:dyDescent="0.25">
      <c r="A42" t="s">
        <v>121</v>
      </c>
      <c r="B42" s="42" t="s">
        <v>122</v>
      </c>
      <c r="C42" s="42"/>
      <c r="D42" s="42"/>
      <c r="E42" s="42"/>
      <c r="F42" s="42" t="s">
        <v>131</v>
      </c>
      <c r="G42" s="42"/>
      <c r="H42" s="42"/>
      <c r="I42" s="42"/>
    </row>
    <row r="43" spans="1:9" x14ac:dyDescent="0.25">
      <c r="A43" t="s">
        <v>83</v>
      </c>
    </row>
    <row r="44" spans="1:9" x14ac:dyDescent="0.25">
      <c r="A44" t="s">
        <v>125</v>
      </c>
      <c r="B44" s="49">
        <f>(100*(POWER(1.05,2)*(POWER(1.02,15))))</f>
        <v>148.38198430023525</v>
      </c>
      <c r="C44" s="49"/>
      <c r="D44" s="49"/>
      <c r="E44" s="49"/>
      <c r="F44" s="49">
        <f>(100*(POWER(1.05,2)*POWER(1.025,15)))</f>
        <v>159.67487285641667</v>
      </c>
      <c r="G44" s="49"/>
      <c r="H44" s="49"/>
      <c r="I44" s="49"/>
    </row>
    <row r="45" spans="1:9" x14ac:dyDescent="0.25">
      <c r="A45" t="s">
        <v>123</v>
      </c>
      <c r="B45" s="49">
        <f>(0.7754*B44)+17.076</f>
        <v>132.13139062640241</v>
      </c>
      <c r="C45" s="49"/>
      <c r="D45" s="49"/>
      <c r="E45" s="49"/>
      <c r="F45" s="49">
        <f>(0.7754*F44)+17.076</f>
        <v>140.88789641286547</v>
      </c>
      <c r="G45" s="49"/>
      <c r="H45" s="49"/>
      <c r="I45" s="49"/>
    </row>
    <row r="46" spans="1:9" x14ac:dyDescent="0.25">
      <c r="A46" t="s">
        <v>85</v>
      </c>
    </row>
    <row r="47" spans="1:9" x14ac:dyDescent="0.25">
      <c r="A47" t="s">
        <v>124</v>
      </c>
    </row>
    <row r="48" spans="1:9" x14ac:dyDescent="0.25">
      <c r="A48" t="s">
        <v>90</v>
      </c>
    </row>
    <row r="49" spans="1:9" x14ac:dyDescent="0.25">
      <c r="A49" t="s">
        <v>126</v>
      </c>
      <c r="B49" s="48">
        <f>(130.34*B44*100/96.19)-2312.1</f>
        <v>17794.052233800463</v>
      </c>
      <c r="C49" s="48"/>
      <c r="D49" s="48"/>
      <c r="E49" s="48"/>
      <c r="F49" s="48">
        <f>(130.34*F44*100/96.19)-2312</f>
        <v>19324.368570647002</v>
      </c>
      <c r="G49" s="48"/>
      <c r="H49" s="48"/>
      <c r="I49" s="48"/>
    </row>
    <row r="50" spans="1:9" x14ac:dyDescent="0.25">
      <c r="A50" t="s">
        <v>127</v>
      </c>
      <c r="B50" s="42">
        <v>2500</v>
      </c>
      <c r="C50" s="42"/>
      <c r="D50" s="42"/>
      <c r="E50" s="42"/>
      <c r="F50" s="42">
        <v>2625</v>
      </c>
      <c r="G50" s="42"/>
      <c r="H50" s="42"/>
      <c r="I50" s="42"/>
    </row>
    <row r="51" spans="1:9" x14ac:dyDescent="0.25">
      <c r="A51" t="s">
        <v>128</v>
      </c>
      <c r="B51" s="48">
        <f>(B49+B50)</f>
        <v>20294.052233800463</v>
      </c>
      <c r="C51" s="42"/>
      <c r="D51" s="42"/>
      <c r="E51" s="42"/>
      <c r="F51" s="48">
        <f>(F49+F50)</f>
        <v>21949.368570647002</v>
      </c>
      <c r="G51" s="42"/>
      <c r="H51" s="42"/>
      <c r="I51" s="42"/>
    </row>
    <row r="52" spans="1:9" x14ac:dyDescent="0.25">
      <c r="A52" t="s">
        <v>129</v>
      </c>
    </row>
    <row r="53" spans="1:9" x14ac:dyDescent="0.25">
      <c r="A53" t="s">
        <v>130</v>
      </c>
    </row>
    <row r="54" spans="1:9" x14ac:dyDescent="0.25">
      <c r="F54" s="12"/>
      <c r="G54" s="12"/>
      <c r="H54" s="12"/>
    </row>
    <row r="55" spans="1:9" x14ac:dyDescent="0.25">
      <c r="A55" s="2" t="s">
        <v>84</v>
      </c>
      <c r="B55" s="12" t="s">
        <v>26</v>
      </c>
      <c r="C55" s="12" t="s">
        <v>86</v>
      </c>
      <c r="D55" s="12" t="s">
        <v>77</v>
      </c>
      <c r="E55" s="12" t="s">
        <v>79</v>
      </c>
      <c r="F55" s="12" t="s">
        <v>26</v>
      </c>
      <c r="G55" s="12" t="s">
        <v>86</v>
      </c>
      <c r="H55" s="12" t="s">
        <v>77</v>
      </c>
      <c r="I55" s="12" t="s">
        <v>79</v>
      </c>
    </row>
    <row r="56" spans="1:9" x14ac:dyDescent="0.25">
      <c r="A56" t="s">
        <v>27</v>
      </c>
      <c r="B56" s="1">
        <f>(B51*0.0744*0.9)</f>
        <v>1358.8897375752788</v>
      </c>
      <c r="C56" s="14">
        <f>(3.069*(1-0.06))</f>
        <v>2.8848599999999998</v>
      </c>
      <c r="D56" s="1">
        <f>(B56*C56)</f>
        <v>3920.2066483414183</v>
      </c>
      <c r="E56" s="20">
        <f>(D56/12480)*100</f>
        <v>31.411912246325468</v>
      </c>
      <c r="F56" s="11">
        <f>(F51*0.0744*0.9)</f>
        <v>1469.7297194905234</v>
      </c>
      <c r="G56" s="14">
        <f>(3.069*(1-0.06))</f>
        <v>2.8848599999999998</v>
      </c>
      <c r="H56" s="11">
        <f>(F56*G56)</f>
        <v>4239.9644785694309</v>
      </c>
      <c r="I56" s="20">
        <f>(H56/13576*100)</f>
        <v>31.231323501542658</v>
      </c>
    </row>
    <row r="57" spans="1:9" x14ac:dyDescent="0.25">
      <c r="A57" t="s">
        <v>0</v>
      </c>
      <c r="B57" s="1">
        <f>(B31*B45/100*0.9)</f>
        <v>2700.612297701598</v>
      </c>
      <c r="C57" s="14">
        <f>(3.035*0.94)</f>
        <v>2.8529</v>
      </c>
      <c r="D57" s="1">
        <f t="shared" ref="D57:D60" si="5">(B57*C57)</f>
        <v>7704.576824112889</v>
      </c>
      <c r="E57" s="20">
        <f t="shared" ref="E57:E62" si="6">(D57/12480)*100</f>
        <v>61.735391218853273</v>
      </c>
      <c r="F57" s="11">
        <f>(B31*F45/100*0.9)</f>
        <v>2879.5851148323973</v>
      </c>
      <c r="G57" s="14">
        <f>(3.035*0.94)</f>
        <v>2.8529</v>
      </c>
      <c r="H57" s="11">
        <f t="shared" ref="H57:H59" si="7">(F57*G57)</f>
        <v>8215.1683741053457</v>
      </c>
      <c r="I57" s="20">
        <f t="shared" ref="I57:I62" si="8">(H57/13576*100)</f>
        <v>60.512436462178442</v>
      </c>
    </row>
    <row r="58" spans="1:9" x14ac:dyDescent="0.25">
      <c r="A58" t="s">
        <v>1</v>
      </c>
      <c r="B58" s="1">
        <f>(B32*B44/100*1.2)</f>
        <v>235.03706313157264</v>
      </c>
      <c r="C58" s="14">
        <f>(3.069*(1-0.06))</f>
        <v>2.8848599999999998</v>
      </c>
      <c r="D58" s="1">
        <f t="shared" si="5"/>
        <v>678.04902194574856</v>
      </c>
      <c r="E58" s="20">
        <f t="shared" si="6"/>
        <v>5.4330851117447798</v>
      </c>
      <c r="F58" s="11">
        <f>(B32*F44/100*1.2)</f>
        <v>252.924998604564</v>
      </c>
      <c r="G58" s="14">
        <f>(3.069*(1-0.06))</f>
        <v>2.8848599999999998</v>
      </c>
      <c r="H58" s="11">
        <f t="shared" si="7"/>
        <v>729.65321147436248</v>
      </c>
      <c r="I58" s="20">
        <f t="shared" si="8"/>
        <v>5.3745816991334889</v>
      </c>
    </row>
    <row r="59" spans="1:9" x14ac:dyDescent="0.25">
      <c r="A59" t="s">
        <v>2</v>
      </c>
      <c r="B59">
        <v>36</v>
      </c>
      <c r="C59" s="14">
        <f t="shared" ref="C59" si="9">(3.069*0.94)</f>
        <v>2.8848599999999998</v>
      </c>
      <c r="D59" s="1">
        <f t="shared" si="5"/>
        <v>103.85495999999999</v>
      </c>
      <c r="E59" s="20">
        <f t="shared" si="6"/>
        <v>0.83217115384615381</v>
      </c>
      <c r="F59" s="8">
        <v>36</v>
      </c>
      <c r="G59" s="14">
        <f t="shared" ref="G59" si="10">(3.069*0.94)</f>
        <v>2.8848599999999998</v>
      </c>
      <c r="H59" s="11">
        <f t="shared" si="7"/>
        <v>103.85495999999999</v>
      </c>
      <c r="I59" s="20">
        <f t="shared" si="8"/>
        <v>0.76498939304655267</v>
      </c>
    </row>
    <row r="60" spans="1:9" x14ac:dyDescent="0.25">
      <c r="A60" t="s">
        <v>4</v>
      </c>
      <c r="B60">
        <v>0</v>
      </c>
      <c r="D60" s="1">
        <f t="shared" si="5"/>
        <v>0</v>
      </c>
      <c r="E60" s="20">
        <f t="shared" si="6"/>
        <v>0</v>
      </c>
      <c r="F60" s="8">
        <v>0</v>
      </c>
      <c r="H60" s="32"/>
      <c r="I60" s="20">
        <f t="shared" si="8"/>
        <v>0</v>
      </c>
    </row>
    <row r="61" spans="1:9" x14ac:dyDescent="0.25">
      <c r="A61" t="s">
        <v>5</v>
      </c>
      <c r="B61" s="10">
        <f>(B35*B44/100*1.2)</f>
        <v>126.42145062380042</v>
      </c>
      <c r="C61" s="14">
        <f>(3.069*0.94)</f>
        <v>2.8848599999999998</v>
      </c>
      <c r="D61" s="1">
        <f>(B61*C61*0.2)</f>
        <v>72.941637209315374</v>
      </c>
      <c r="E61" s="20">
        <f t="shared" si="6"/>
        <v>0.58446824686951415</v>
      </c>
      <c r="F61" s="10">
        <f>(B35*F44/100*1.2)</f>
        <v>136.04299167366699</v>
      </c>
      <c r="G61" s="14">
        <f>(3.069*0.94)</f>
        <v>2.8848599999999998</v>
      </c>
      <c r="H61" s="32">
        <f>(F61*G61*0.2)</f>
        <v>78.49299699193898</v>
      </c>
      <c r="I61" s="20">
        <f t="shared" si="8"/>
        <v>0.57817469793708731</v>
      </c>
    </row>
    <row r="62" spans="1:9" x14ac:dyDescent="0.25">
      <c r="A62" s="2" t="s">
        <v>6</v>
      </c>
      <c r="B62" s="1">
        <f>SUM(B56:B61)</f>
        <v>4456.9605490322501</v>
      </c>
      <c r="D62" s="1">
        <f>SUM(D56:D61)</f>
        <v>12479.629091609369</v>
      </c>
      <c r="E62" s="20">
        <f t="shared" si="6"/>
        <v>99.997027977639178</v>
      </c>
      <c r="F62" s="1">
        <f>SUM(F56:F61)</f>
        <v>4774.2828246011513</v>
      </c>
      <c r="H62" s="1">
        <f>SUM(H56:H61)</f>
        <v>13367.134021141079</v>
      </c>
      <c r="I62" s="20">
        <f t="shared" si="8"/>
        <v>98.461505753838239</v>
      </c>
    </row>
    <row r="63" spans="1:9" x14ac:dyDescent="0.25">
      <c r="E63" s="20"/>
      <c r="F63" s="20"/>
      <c r="G63" s="20"/>
    </row>
    <row r="64" spans="1:9" x14ac:dyDescent="0.25">
      <c r="A64" t="s">
        <v>87</v>
      </c>
      <c r="B64" s="20">
        <f>(B62/B36)*100</f>
        <v>112.29429450824514</v>
      </c>
      <c r="C64" s="20"/>
      <c r="D64" s="20">
        <f>(D62/D36)*100</f>
        <v>107.77453015223992</v>
      </c>
      <c r="E64" s="20"/>
      <c r="F64" s="20">
        <f>(F62/B36*100)</f>
        <v>120.28931278914466</v>
      </c>
      <c r="H64" s="20">
        <f>(H62/D36*100)</f>
        <v>115.43905496190649</v>
      </c>
    </row>
  </sheetData>
  <mergeCells count="15">
    <mergeCell ref="B38:I38"/>
    <mergeCell ref="B51:E51"/>
    <mergeCell ref="F51:I51"/>
    <mergeCell ref="A1:I2"/>
    <mergeCell ref="B45:E45"/>
    <mergeCell ref="F45:I45"/>
    <mergeCell ref="B49:E49"/>
    <mergeCell ref="F49:I49"/>
    <mergeCell ref="B50:E50"/>
    <mergeCell ref="F50:I50"/>
    <mergeCell ref="B42:E42"/>
    <mergeCell ref="F42:I42"/>
    <mergeCell ref="B44:E44"/>
    <mergeCell ref="F44:I44"/>
    <mergeCell ref="B4:E4"/>
  </mergeCell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7"/>
  <sheetViews>
    <sheetView workbookViewId="0">
      <selection activeCell="J11" sqref="J11"/>
    </sheetView>
  </sheetViews>
  <sheetFormatPr defaultRowHeight="15" x14ac:dyDescent="0.25"/>
  <cols>
    <col min="1" max="1" width="27.42578125" customWidth="1"/>
    <col min="2" max="2" width="18" customWidth="1"/>
    <col min="3" max="3" width="18.28515625" customWidth="1"/>
    <col min="4" max="4" width="17.7109375" customWidth="1"/>
    <col min="5" max="5" width="18" customWidth="1"/>
  </cols>
  <sheetData>
    <row r="4" spans="2:5" x14ac:dyDescent="0.25">
      <c r="B4" s="45"/>
      <c r="C4" s="45"/>
      <c r="D4" s="45"/>
      <c r="E4" s="45"/>
    </row>
    <row r="5" spans="2:5" x14ac:dyDescent="0.25">
      <c r="B5" s="12"/>
      <c r="C5" s="12"/>
      <c r="D5" s="12"/>
      <c r="E5" s="12"/>
    </row>
    <row r="6" spans="2:5" x14ac:dyDescent="0.25">
      <c r="B6" s="14"/>
      <c r="C6" s="15"/>
      <c r="D6" s="14"/>
      <c r="E6" s="20"/>
    </row>
    <row r="7" spans="2:5" x14ac:dyDescent="0.25">
      <c r="B7" s="14"/>
      <c r="C7" s="15"/>
      <c r="D7" s="14"/>
      <c r="E7" s="20"/>
    </row>
  </sheetData>
  <mergeCells count="1"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GDuggan</dc:creator>
  <cp:lastModifiedBy>Terry Nolan</cp:lastModifiedBy>
  <cp:lastPrinted>2016-09-17T07:35:10Z</cp:lastPrinted>
  <dcterms:created xsi:type="dcterms:W3CDTF">2016-09-10T10:54:56Z</dcterms:created>
  <dcterms:modified xsi:type="dcterms:W3CDTF">2017-01-20T18:09:13Z</dcterms:modified>
</cp:coreProperties>
</file>